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U:\EHB\CORE\DRT\MICH82\YEAR\2023\FINANCIAL\PRICING\"/>
    </mc:Choice>
  </mc:AlternateContent>
  <xr:revisionPtr revIDLastSave="0" documentId="13_ncr:1_{545799EF-7E73-4194-A420-7D2C83DCF952}" xr6:coauthVersionLast="47" xr6:coauthVersionMax="47" xr10:uidLastSave="{00000000-0000-0000-0000-000000000000}"/>
  <workbookProtection workbookAlgorithmName="SHA-512" workbookHashValue="/kQlF2ygAuj1A0tQ1EqA9SCuT66UGfeJ1g83Wn6r449hSTOEBQz7caU9OkXkJUGVyJ1WRtRsIdWl1g5Rjvtn/g==" workbookSaltValue="5Zq9hthjz8FLoj+wFNV1rA==" workbookSpinCount="100000" lockStructure="1"/>
  <bookViews>
    <workbookView xWindow="-28920" yWindow="-120" windowWidth="29040" windowHeight="15840" xr2:uid="{00000000-000D-0000-FFFF-FFFF00000000}"/>
  </bookViews>
  <sheets>
    <sheet name="Dental Modeler" sheetId="12" r:id="rId1"/>
    <sheet name="App1 (Calculations-Hide)" sheetId="11" state="hidden" r:id="rId2"/>
    <sheet name="References (Hide)" sheetId="13" state="hidden" r:id="rId3"/>
    <sheet name="MSU" sheetId="14" state="hidden" r:id="rId4"/>
  </sheets>
  <definedNames>
    <definedName name="_xlnm._FilterDatabase" localSheetId="3" hidden="1">MSU!#REF!</definedName>
    <definedName name="Braces">Table55[Braces]</definedName>
    <definedName name="Cleaning">Table48[Cleaning]</definedName>
    <definedName name="Crown">Table53[Crown]</definedName>
    <definedName name="Eight">Table10[Eight]</definedName>
    <definedName name="EightBraces">Table29[EightBraces]</definedName>
    <definedName name="EightFillings">Table37[EightFillings]</definedName>
    <definedName name="EightFluoride">Table18[EightFluoride]</definedName>
    <definedName name="EightRootCanal">Table45[EightRootCanal]</definedName>
    <definedName name="Exam">Table47[Exam]</definedName>
    <definedName name="Family">Table2[Family Members]</definedName>
    <definedName name="Filling">Table51[Filling]</definedName>
    <definedName name="Five">Table6[Five]</definedName>
    <definedName name="FiveBraces">Table26[FiveBraces]</definedName>
    <definedName name="FiveFillings">Table34[FiveFillings]</definedName>
    <definedName name="FiveFluoride">Table15[FiveFluoride]</definedName>
    <definedName name="FiveRootCanal">Table42[FiveRootCanal]</definedName>
    <definedName name="Fluoride">Table50[Fluoride]</definedName>
    <definedName name="Four">Table5[Four]</definedName>
    <definedName name="FourBraces">Table25[FourBraces]</definedName>
    <definedName name="FourFillings">Table33[FourFillings]</definedName>
    <definedName name="FourFluoride">Table8[FourFluoride]</definedName>
    <definedName name="FourRootCanal">Table41[FourRootCanal]</definedName>
    <definedName name="Full_Time_Status">Table3[Full Time Status]</definedName>
    <definedName name="IDX" localSheetId="3">MSU!#REF!</definedName>
    <definedName name="Implant">Table54[Implant]</definedName>
    <definedName name="One">Table11[One]</definedName>
    <definedName name="OneBraces">Table22[OneBraces]</definedName>
    <definedName name="OneFillings">Table30[OneFillings]</definedName>
    <definedName name="OneFluoride">Table21[OneFluoride]</definedName>
    <definedName name="OneRootCanal">Table38[OneRootCanal]</definedName>
    <definedName name="RootCanal">Table52[RootCanal]</definedName>
    <definedName name="Seven">Table9[Seven]</definedName>
    <definedName name="SevenBraces">Table28[SevenBraces]</definedName>
    <definedName name="SevenFillings">Table36[SevenFillings]</definedName>
    <definedName name="SevenFluoride">Table17[SevenFluoride]</definedName>
    <definedName name="SevenRootCanal">Table44[SevenRootCanal]</definedName>
    <definedName name="Single">Table13[Single]</definedName>
    <definedName name="Six">Table7[Six]</definedName>
    <definedName name="SixBraces">Table27[SixBraces]</definedName>
    <definedName name="SixFillings">Table35[SixFillings]</definedName>
    <definedName name="SixFluoride">Table16[SixFluoride]</definedName>
    <definedName name="SixRootCanal">Table43[SixRootCanal]</definedName>
    <definedName name="Three">Table4[Three]</definedName>
    <definedName name="ThreeBraces">Table24[ThreeBraces]</definedName>
    <definedName name="ThreeFillings">Table32[ThreeFillings]</definedName>
    <definedName name="ThreeFluoride">Table20[ThreeFluoride]</definedName>
    <definedName name="ThreeRootCanal">Table40[ThreeRootCanal]</definedName>
    <definedName name="Tier">Table1[Tiers]</definedName>
    <definedName name="Two">Table12[Two]</definedName>
    <definedName name="Two_Person">Table14[Two Person]</definedName>
    <definedName name="TwoBraces">Table23[TwoBraces]</definedName>
    <definedName name="TwoFillings">Table31[TwoFillings]</definedName>
    <definedName name="TwoFluoride">Table19[TwoFluoride]</definedName>
    <definedName name="TwoRootCanal">Table39[TwoRootCanal]</definedName>
    <definedName name="Utilization">Table46[Utilization]</definedName>
    <definedName name="Utilization_Amounts">'References (Hide)'!$A$34:$G$43</definedName>
    <definedName name="Xray">Table49[Xray]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14" i="11" l="1"/>
  <c r="BR14" i="11"/>
  <c r="BG14" i="11"/>
  <c r="Z14" i="11"/>
  <c r="O14" i="11"/>
  <c r="CA14" i="11"/>
  <c r="BP14" i="11"/>
  <c r="BE14" i="11"/>
  <c r="AT14" i="11"/>
  <c r="AI14" i="11"/>
  <c r="X14" i="11"/>
  <c r="M14" i="11"/>
  <c r="B14" i="11"/>
  <c r="D28" i="12"/>
  <c r="J17" i="11" s="1"/>
  <c r="CI17" i="11" s="1"/>
  <c r="C28" i="12"/>
  <c r="F17" i="11" s="1"/>
  <c r="CE17" i="11" s="1"/>
  <c r="C17" i="12"/>
  <c r="C20" i="12"/>
  <c r="CA4" i="11"/>
  <c r="CA3" i="11" s="1"/>
  <c r="BP4" i="11"/>
  <c r="BP3" i="11" s="1"/>
  <c r="BE4" i="11"/>
  <c r="BE3" i="11" s="1"/>
  <c r="AT4" i="11"/>
  <c r="AT3" i="11" s="1"/>
  <c r="AI4" i="11"/>
  <c r="AI3" i="11" s="1"/>
  <c r="X4" i="11"/>
  <c r="X3" i="11" s="1"/>
  <c r="M4" i="11"/>
  <c r="M3" i="11" s="1"/>
  <c r="B4" i="11"/>
  <c r="B3" i="11" s="1"/>
  <c r="C21" i="12"/>
  <c r="J21" i="12"/>
  <c r="I21" i="12"/>
  <c r="H21" i="12"/>
  <c r="G21" i="12"/>
  <c r="F21" i="12"/>
  <c r="E21" i="12"/>
  <c r="D21" i="12"/>
  <c r="J20" i="12"/>
  <c r="I20" i="12"/>
  <c r="H20" i="12"/>
  <c r="G20" i="12"/>
  <c r="F20" i="12"/>
  <c r="E20" i="12"/>
  <c r="D20" i="12"/>
  <c r="J19" i="12"/>
  <c r="I19" i="12"/>
  <c r="H19" i="12"/>
  <c r="G19" i="12"/>
  <c r="F19" i="12"/>
  <c r="E19" i="12"/>
  <c r="D19" i="12"/>
  <c r="J18" i="12"/>
  <c r="I18" i="12"/>
  <c r="H18" i="12"/>
  <c r="G18" i="12"/>
  <c r="F18" i="12"/>
  <c r="E18" i="12"/>
  <c r="D18" i="12"/>
  <c r="J17" i="12"/>
  <c r="I17" i="12"/>
  <c r="H17" i="12"/>
  <c r="G17" i="12"/>
  <c r="F17" i="12"/>
  <c r="E17" i="12"/>
  <c r="D17" i="12"/>
  <c r="J16" i="12"/>
  <c r="I16" i="12"/>
  <c r="H16" i="12"/>
  <c r="G16" i="12"/>
  <c r="F16" i="12"/>
  <c r="E16" i="12"/>
  <c r="D16" i="12"/>
  <c r="J15" i="12"/>
  <c r="I15" i="12"/>
  <c r="H15" i="12"/>
  <c r="G15" i="12"/>
  <c r="F15" i="12"/>
  <c r="E15" i="12"/>
  <c r="D15" i="12"/>
  <c r="J14" i="12"/>
  <c r="I14" i="12"/>
  <c r="H14" i="12"/>
  <c r="G14" i="12"/>
  <c r="F14" i="12"/>
  <c r="E14" i="12"/>
  <c r="D14" i="12"/>
  <c r="C19" i="12"/>
  <c r="C18" i="12"/>
  <c r="C16" i="12"/>
  <c r="C15" i="12"/>
  <c r="C14" i="12"/>
  <c r="E22" i="13"/>
  <c r="F26" i="13"/>
  <c r="D26" i="13"/>
  <c r="G25" i="13"/>
  <c r="H29" i="13"/>
  <c r="D22" i="13"/>
  <c r="C24" i="13"/>
  <c r="D27" i="13"/>
  <c r="G29" i="13"/>
  <c r="E26" i="13"/>
  <c r="C26" i="13"/>
  <c r="F28" i="13"/>
  <c r="C22" i="13"/>
  <c r="C25" i="13"/>
  <c r="F29" i="13"/>
  <c r="C28" i="13"/>
  <c r="B23" i="13"/>
  <c r="C29" i="13"/>
  <c r="B26" i="13"/>
  <c r="B22" i="13"/>
  <c r="E24" i="13"/>
  <c r="H22" i="13"/>
  <c r="F24" i="13"/>
  <c r="E28" i="13"/>
  <c r="H27" i="13"/>
  <c r="E25" i="13"/>
  <c r="B29" i="13"/>
  <c r="C27" i="13"/>
  <c r="B28" i="13"/>
  <c r="H23" i="13"/>
  <c r="G28" i="13"/>
  <c r="D28" i="13"/>
  <c r="D29" i="13"/>
  <c r="E23" i="13"/>
  <c r="B24" i="13"/>
  <c r="E27" i="13"/>
  <c r="E29" i="13"/>
  <c r="H24" i="13"/>
  <c r="F23" i="13"/>
  <c r="G23" i="13"/>
  <c r="H26" i="13"/>
  <c r="B27" i="13"/>
  <c r="F22" i="13"/>
  <c r="D23" i="13"/>
  <c r="F25" i="13"/>
  <c r="D25" i="13"/>
  <c r="G27" i="13"/>
  <c r="H25" i="13"/>
  <c r="C23" i="13"/>
  <c r="D24" i="13"/>
  <c r="G24" i="13"/>
  <c r="G26" i="13"/>
  <c r="F27" i="13"/>
  <c r="B25" i="13"/>
  <c r="H28" i="13"/>
  <c r="G22" i="13"/>
  <c r="AV14" i="11" l="1"/>
  <c r="AK14" i="11"/>
  <c r="D14" i="11"/>
  <c r="E14" i="11" s="1"/>
  <c r="BB17" i="11"/>
  <c r="Q17" i="11"/>
  <c r="BI17" i="11"/>
  <c r="U17" i="11"/>
  <c r="BM17" i="11"/>
  <c r="AB17" i="11"/>
  <c r="BT17" i="11"/>
  <c r="AX17" i="11"/>
  <c r="AF17" i="11"/>
  <c r="BX17" i="11"/>
  <c r="AM17" i="11"/>
  <c r="AQ17" i="11"/>
  <c r="C63" i="13"/>
  <c r="A26" i="13"/>
  <c r="B9" i="11"/>
  <c r="B6" i="11"/>
  <c r="B13" i="11"/>
  <c r="B12" i="11"/>
  <c r="A27" i="13"/>
  <c r="B8" i="11"/>
  <c r="B7" i="11"/>
  <c r="CA7" i="11"/>
  <c r="CA8" i="11"/>
  <c r="CA9" i="11"/>
  <c r="CA10" i="11"/>
  <c r="CA11" i="11"/>
  <c r="CA12" i="11"/>
  <c r="CA13" i="11"/>
  <c r="CA6" i="11"/>
  <c r="BP7" i="11"/>
  <c r="BP8" i="11"/>
  <c r="BP9" i="11"/>
  <c r="BP10" i="11"/>
  <c r="BP11" i="11"/>
  <c r="BP12" i="11"/>
  <c r="BP13" i="11"/>
  <c r="BP6" i="11"/>
  <c r="BE7" i="11"/>
  <c r="BE8" i="11"/>
  <c r="BE9" i="11"/>
  <c r="BE10" i="11"/>
  <c r="BE11" i="11"/>
  <c r="BE12" i="11"/>
  <c r="BE13" i="11"/>
  <c r="BE6" i="11"/>
  <c r="AT7" i="11"/>
  <c r="AT8" i="11"/>
  <c r="AT9" i="11"/>
  <c r="AT10" i="11"/>
  <c r="AT11" i="11"/>
  <c r="AT12" i="11"/>
  <c r="AT13" i="11"/>
  <c r="AT6" i="11"/>
  <c r="AI7" i="11"/>
  <c r="AI8" i="11"/>
  <c r="AI9" i="11"/>
  <c r="AI10" i="11"/>
  <c r="AI11" i="11"/>
  <c r="AI12" i="11"/>
  <c r="AI13" i="11"/>
  <c r="AI6" i="11"/>
  <c r="X7" i="11"/>
  <c r="X8" i="11"/>
  <c r="X9" i="11"/>
  <c r="X10" i="11"/>
  <c r="X11" i="11"/>
  <c r="X12" i="11"/>
  <c r="X13" i="11"/>
  <c r="X6" i="11"/>
  <c r="M7" i="11"/>
  <c r="M8" i="11"/>
  <c r="M9" i="11"/>
  <c r="M10" i="11"/>
  <c r="M11" i="11"/>
  <c r="M12" i="11"/>
  <c r="M13" i="11"/>
  <c r="M6" i="11"/>
  <c r="J22" i="13"/>
  <c r="J23" i="13"/>
  <c r="J24" i="13"/>
  <c r="J25" i="13"/>
  <c r="J26" i="13"/>
  <c r="J27" i="13"/>
  <c r="J30" i="13"/>
  <c r="D9" i="12"/>
  <c r="A24" i="13"/>
  <c r="A22" i="13"/>
  <c r="A23" i="13"/>
  <c r="C67" i="13" l="1"/>
  <c r="C66" i="13"/>
  <c r="C69" i="13"/>
  <c r="C71" i="13"/>
  <c r="E63" i="13"/>
  <c r="E66" i="13" s="1"/>
  <c r="F66" i="13" s="1"/>
  <c r="C70" i="13"/>
  <c r="C72" i="13"/>
  <c r="C64" i="13"/>
  <c r="C73" i="13"/>
  <c r="C65" i="13"/>
  <c r="C68" i="13"/>
  <c r="B11" i="11"/>
  <c r="B10" i="11"/>
  <c r="A25" i="13"/>
  <c r="B1" i="11"/>
  <c r="C7" i="11" l="1"/>
  <c r="G7" i="11" s="1"/>
  <c r="N7" i="11"/>
  <c r="R7" i="11" s="1"/>
  <c r="E68" i="13"/>
  <c r="F68" i="13" s="1"/>
  <c r="C9" i="11" s="1"/>
  <c r="G9" i="11" s="1"/>
  <c r="E65" i="13"/>
  <c r="F65" i="13" s="1"/>
  <c r="E73" i="13"/>
  <c r="F73" i="13" s="1"/>
  <c r="C14" i="11" s="1"/>
  <c r="G14" i="11" s="1"/>
  <c r="E64" i="13"/>
  <c r="F64" i="13" s="1"/>
  <c r="C6" i="11" s="1"/>
  <c r="G6" i="11" s="1"/>
  <c r="E72" i="13"/>
  <c r="F72" i="13" s="1"/>
  <c r="C13" i="11" s="1"/>
  <c r="G13" i="11" s="1"/>
  <c r="E70" i="13"/>
  <c r="F70" i="13" s="1"/>
  <c r="C11" i="11" s="1"/>
  <c r="G11" i="11" s="1"/>
  <c r="E71" i="13"/>
  <c r="F71" i="13" s="1"/>
  <c r="C12" i="11" s="1"/>
  <c r="G12" i="11" s="1"/>
  <c r="E69" i="13"/>
  <c r="F69" i="13" s="1"/>
  <c r="C10" i="11" s="1"/>
  <c r="G10" i="11" s="1"/>
  <c r="E67" i="13"/>
  <c r="F67" i="13" s="1"/>
  <c r="C8" i="11" s="1"/>
  <c r="G8" i="11" s="1"/>
  <c r="AU7" i="11" l="1"/>
  <c r="AY7" i="11" s="1"/>
  <c r="BF7" i="11"/>
  <c r="BJ7" i="11" s="1"/>
  <c r="BQ7" i="11"/>
  <c r="BU7" i="11" s="1"/>
  <c r="CB7" i="11"/>
  <c r="CF7" i="11" s="1"/>
  <c r="Y7" i="11"/>
  <c r="AC7" i="11" s="1"/>
  <c r="AJ7" i="11"/>
  <c r="AN7" i="11" s="1"/>
  <c r="AU13" i="11"/>
  <c r="AY13" i="11" s="1"/>
  <c r="BF13" i="11"/>
  <c r="BJ13" i="11" s="1"/>
  <c r="Y13" i="11"/>
  <c r="AC13" i="11" s="1"/>
  <c r="BQ13" i="11"/>
  <c r="BU13" i="11" s="1"/>
  <c r="AJ13" i="11"/>
  <c r="AN13" i="11" s="1"/>
  <c r="CB13" i="11"/>
  <c r="CF13" i="11" s="1"/>
  <c r="N13" i="11"/>
  <c r="R13" i="11" s="1"/>
  <c r="AU14" i="11"/>
  <c r="AY14" i="11" s="1"/>
  <c r="BF14" i="11"/>
  <c r="BJ14" i="11" s="1"/>
  <c r="Y14" i="11"/>
  <c r="AC14" i="11" s="1"/>
  <c r="BQ14" i="11"/>
  <c r="BU14" i="11" s="1"/>
  <c r="AJ14" i="11"/>
  <c r="AN14" i="11" s="1"/>
  <c r="CB14" i="11"/>
  <c r="CF14" i="11" s="1"/>
  <c r="N14" i="11"/>
  <c r="R14" i="11" s="1"/>
  <c r="AJ10" i="11"/>
  <c r="AN10" i="11" s="1"/>
  <c r="CB10" i="11"/>
  <c r="CF10" i="11" s="1"/>
  <c r="N10" i="11"/>
  <c r="R10" i="11" s="1"/>
  <c r="AU10" i="11"/>
  <c r="AY10" i="11" s="1"/>
  <c r="BF10" i="11"/>
  <c r="BJ10" i="11" s="1"/>
  <c r="Y10" i="11"/>
  <c r="AC10" i="11" s="1"/>
  <c r="BQ10" i="11"/>
  <c r="BU10" i="11" s="1"/>
  <c r="N12" i="11"/>
  <c r="R12" i="11" s="1"/>
  <c r="AU12" i="11"/>
  <c r="AY12" i="11" s="1"/>
  <c r="BF12" i="11"/>
  <c r="BJ12" i="11" s="1"/>
  <c r="Y12" i="11"/>
  <c r="AC12" i="11" s="1"/>
  <c r="BQ12" i="11"/>
  <c r="BU12" i="11" s="1"/>
  <c r="AJ12" i="11"/>
  <c r="AN12" i="11" s="1"/>
  <c r="CB12" i="11"/>
  <c r="CF12" i="11" s="1"/>
  <c r="CB11" i="11"/>
  <c r="CF11" i="11" s="1"/>
  <c r="N11" i="11"/>
  <c r="R11" i="11" s="1"/>
  <c r="AU11" i="11"/>
  <c r="AY11" i="11" s="1"/>
  <c r="BF11" i="11"/>
  <c r="BJ11" i="11" s="1"/>
  <c r="Y11" i="11"/>
  <c r="AC11" i="11" s="1"/>
  <c r="BQ11" i="11"/>
  <c r="BU11" i="11" s="1"/>
  <c r="AJ11" i="11"/>
  <c r="AN11" i="11" s="1"/>
  <c r="BQ6" i="11"/>
  <c r="BU6" i="11" s="1"/>
  <c r="AJ6" i="11"/>
  <c r="AN6" i="11" s="1"/>
  <c r="CB6" i="11"/>
  <c r="CF6" i="11" s="1"/>
  <c r="N6" i="11"/>
  <c r="R6" i="11" s="1"/>
  <c r="Y6" i="11"/>
  <c r="AC6" i="11" s="1"/>
  <c r="AU6" i="11"/>
  <c r="AY6" i="11" s="1"/>
  <c r="BF6" i="11"/>
  <c r="BJ6" i="11" s="1"/>
  <c r="AU8" i="11"/>
  <c r="AY8" i="11" s="1"/>
  <c r="CB8" i="11"/>
  <c r="CF8" i="11" s="1"/>
  <c r="AJ8" i="11"/>
  <c r="AN8" i="11" s="1"/>
  <c r="BF8" i="11"/>
  <c r="BJ8" i="11" s="1"/>
  <c r="N8" i="11"/>
  <c r="R8" i="11" s="1"/>
  <c r="BQ8" i="11"/>
  <c r="BU8" i="11" s="1"/>
  <c r="Y8" i="11"/>
  <c r="AC8" i="11" s="1"/>
  <c r="D22" i="11"/>
  <c r="D32" i="11" s="1"/>
  <c r="BQ9" i="11"/>
  <c r="BU9" i="11" s="1"/>
  <c r="BF9" i="11"/>
  <c r="BJ9" i="11" s="1"/>
  <c r="AU9" i="11"/>
  <c r="AY9" i="11" s="1"/>
  <c r="CB9" i="11"/>
  <c r="CF9" i="11" s="1"/>
  <c r="N9" i="11"/>
  <c r="R9" i="11" s="1"/>
  <c r="Y9" i="11"/>
  <c r="AC9" i="11" s="1"/>
  <c r="AJ9" i="11"/>
  <c r="AN9" i="11" s="1"/>
  <c r="AY1" i="13"/>
  <c r="AO1" i="13"/>
  <c r="AE1" i="13"/>
  <c r="U1" i="13"/>
  <c r="J7" i="11"/>
  <c r="J8" i="11"/>
  <c r="J9" i="11"/>
  <c r="J10" i="11"/>
  <c r="J11" i="11"/>
  <c r="J12" i="11"/>
  <c r="J13" i="11"/>
  <c r="J14" i="11"/>
  <c r="E6" i="11"/>
  <c r="C2" i="13"/>
  <c r="C3" i="13"/>
  <c r="C4" i="13"/>
  <c r="C5" i="13"/>
  <c r="C6" i="13"/>
  <c r="C7" i="13"/>
  <c r="AX9" i="11" l="1"/>
  <c r="BB9" i="11"/>
  <c r="BA9" i="11"/>
  <c r="AW9" i="11"/>
  <c r="AQ6" i="11"/>
  <c r="AP6" i="11"/>
  <c r="AK22" i="11"/>
  <c r="AO22" i="11"/>
  <c r="AM6" i="11"/>
  <c r="AL6" i="11"/>
  <c r="AE11" i="11"/>
  <c r="AA11" i="11"/>
  <c r="AF11" i="11"/>
  <c r="AB11" i="11"/>
  <c r="BS7" i="11"/>
  <c r="BT7" i="11"/>
  <c r="BW7" i="11"/>
  <c r="BX7" i="11"/>
  <c r="AQ14" i="11"/>
  <c r="AP14" i="11"/>
  <c r="AL14" i="11"/>
  <c r="AO27" i="11"/>
  <c r="AQ27" i="11" s="1"/>
  <c r="AK27" i="11"/>
  <c r="AM27" i="11" s="1"/>
  <c r="AM14" i="11"/>
  <c r="BA14" i="11"/>
  <c r="AX14" i="11"/>
  <c r="AZ27" i="11"/>
  <c r="BB27" i="11" s="1"/>
  <c r="AW14" i="11"/>
  <c r="BB14" i="11"/>
  <c r="AV27" i="11"/>
  <c r="AX27" i="11" s="1"/>
  <c r="BW13" i="11"/>
  <c r="BX13" i="11"/>
  <c r="BS13" i="11"/>
  <c r="BT13" i="11"/>
  <c r="AM9" i="11"/>
  <c r="AQ9" i="11"/>
  <c r="AP9" i="11"/>
  <c r="AL9" i="11"/>
  <c r="BI8" i="11"/>
  <c r="BH8" i="11"/>
  <c r="BL8" i="11"/>
  <c r="BM8" i="11"/>
  <c r="CH11" i="11"/>
  <c r="CD11" i="11"/>
  <c r="CE11" i="11"/>
  <c r="CI11" i="11"/>
  <c r="BM12" i="11"/>
  <c r="BL12" i="11"/>
  <c r="BH12" i="11"/>
  <c r="BI12" i="11"/>
  <c r="BS10" i="11"/>
  <c r="BW10" i="11"/>
  <c r="BX10" i="11"/>
  <c r="BT10" i="11"/>
  <c r="T10" i="11"/>
  <c r="P10" i="11"/>
  <c r="Q10" i="11"/>
  <c r="U10" i="11"/>
  <c r="AF13" i="11"/>
  <c r="AA13" i="11"/>
  <c r="AE13" i="11"/>
  <c r="AB13" i="11"/>
  <c r="AL8" i="11"/>
  <c r="AM8" i="11"/>
  <c r="AQ8" i="11"/>
  <c r="AP8" i="11"/>
  <c r="AE6" i="11"/>
  <c r="AB6" i="11"/>
  <c r="Z22" i="11"/>
  <c r="AA6" i="11"/>
  <c r="AF6" i="11"/>
  <c r="AD22" i="11"/>
  <c r="BI11" i="11"/>
  <c r="BH11" i="11"/>
  <c r="BM11" i="11"/>
  <c r="BL11" i="11"/>
  <c r="CI12" i="11"/>
  <c r="CD12" i="11"/>
  <c r="CE12" i="11"/>
  <c r="CH12" i="11"/>
  <c r="AE10" i="11"/>
  <c r="AF10" i="11"/>
  <c r="AA10" i="11"/>
  <c r="AB10" i="11"/>
  <c r="AX7" i="11"/>
  <c r="BB7" i="11"/>
  <c r="BA7" i="11"/>
  <c r="AW7" i="11"/>
  <c r="Q13" i="11"/>
  <c r="P13" i="11"/>
  <c r="T13" i="11"/>
  <c r="U13" i="11"/>
  <c r="AE9" i="11"/>
  <c r="AB9" i="11"/>
  <c r="AA9" i="11"/>
  <c r="AF9" i="11"/>
  <c r="BM9" i="11"/>
  <c r="BI9" i="11"/>
  <c r="BH9" i="11"/>
  <c r="BL9" i="11"/>
  <c r="AB8" i="11"/>
  <c r="AF8" i="11"/>
  <c r="AE8" i="11"/>
  <c r="AA8" i="11"/>
  <c r="CD8" i="11"/>
  <c r="CE8" i="11"/>
  <c r="CH8" i="11"/>
  <c r="CI8" i="11"/>
  <c r="BW6" i="11"/>
  <c r="BR22" i="11"/>
  <c r="BT6" i="11"/>
  <c r="BX6" i="11"/>
  <c r="BV22" i="11"/>
  <c r="BS6" i="11"/>
  <c r="AL12" i="11"/>
  <c r="AM12" i="11"/>
  <c r="AP12" i="11"/>
  <c r="AQ12" i="11"/>
  <c r="AW12" i="11"/>
  <c r="BB12" i="11"/>
  <c r="BA12" i="11"/>
  <c r="AX12" i="11"/>
  <c r="CH10" i="11"/>
  <c r="CD10" i="11"/>
  <c r="CE10" i="11"/>
  <c r="CI10" i="11"/>
  <c r="BX14" i="11"/>
  <c r="BT14" i="11"/>
  <c r="BV27" i="11"/>
  <c r="BX27" i="11" s="1"/>
  <c r="BR27" i="11"/>
  <c r="BT27" i="11" s="1"/>
  <c r="BS14" i="11"/>
  <c r="BW14" i="11"/>
  <c r="BI13" i="11"/>
  <c r="BL13" i="11"/>
  <c r="BM13" i="11"/>
  <c r="BH13" i="11"/>
  <c r="AM11" i="11"/>
  <c r="AP11" i="11"/>
  <c r="AL11" i="11"/>
  <c r="AQ11" i="11"/>
  <c r="AX11" i="11"/>
  <c r="BA11" i="11"/>
  <c r="AW11" i="11"/>
  <c r="BB11" i="11"/>
  <c r="BI10" i="11"/>
  <c r="BH10" i="11"/>
  <c r="BL10" i="11"/>
  <c r="BM10" i="11"/>
  <c r="AL10" i="11"/>
  <c r="AP10" i="11"/>
  <c r="AM10" i="11"/>
  <c r="AQ10" i="11"/>
  <c r="Q7" i="11"/>
  <c r="P7" i="11"/>
  <c r="T7" i="11"/>
  <c r="U7" i="11"/>
  <c r="AB14" i="11"/>
  <c r="AD27" i="11"/>
  <c r="AF27" i="11" s="1"/>
  <c r="AA14" i="11"/>
  <c r="Z27" i="11"/>
  <c r="AB27" i="11" s="1"/>
  <c r="AE14" i="11"/>
  <c r="AF14" i="11"/>
  <c r="CI13" i="11"/>
  <c r="CH13" i="11"/>
  <c r="CD13" i="11"/>
  <c r="CE13" i="11"/>
  <c r="BX9" i="11"/>
  <c r="BS9" i="11"/>
  <c r="BT9" i="11"/>
  <c r="BW9" i="11"/>
  <c r="BX8" i="11"/>
  <c r="BT8" i="11"/>
  <c r="BS8" i="11"/>
  <c r="BW8" i="11"/>
  <c r="BA8" i="11"/>
  <c r="AW8" i="11"/>
  <c r="BB8" i="11"/>
  <c r="AX8" i="11"/>
  <c r="Q14" i="11"/>
  <c r="T14" i="11"/>
  <c r="U14" i="11"/>
  <c r="O27" i="11"/>
  <c r="Q27" i="11" s="1"/>
  <c r="S27" i="11"/>
  <c r="U27" i="11" s="1"/>
  <c r="P14" i="11"/>
  <c r="AL13" i="11"/>
  <c r="AQ13" i="11"/>
  <c r="AP13" i="11"/>
  <c r="AM13" i="11"/>
  <c r="AW13" i="11"/>
  <c r="AX13" i="11"/>
  <c r="BB13" i="11"/>
  <c r="BA13" i="11"/>
  <c r="Q9" i="11"/>
  <c r="T9" i="11"/>
  <c r="U9" i="11"/>
  <c r="P9" i="11"/>
  <c r="Q8" i="11"/>
  <c r="U8" i="11"/>
  <c r="P8" i="11"/>
  <c r="T8" i="11"/>
  <c r="BL6" i="11"/>
  <c r="BI6" i="11"/>
  <c r="BH6" i="11"/>
  <c r="BG22" i="11"/>
  <c r="BM6" i="11"/>
  <c r="BK22" i="11"/>
  <c r="P6" i="11"/>
  <c r="O22" i="11"/>
  <c r="D33" i="11" s="1"/>
  <c r="T6" i="11"/>
  <c r="Q6" i="11"/>
  <c r="S22" i="11"/>
  <c r="U6" i="11"/>
  <c r="BT12" i="11"/>
  <c r="BX12" i="11"/>
  <c r="BW12" i="11"/>
  <c r="BS12" i="11"/>
  <c r="P12" i="11"/>
  <c r="T12" i="11"/>
  <c r="Q12" i="11"/>
  <c r="U12" i="11"/>
  <c r="BA10" i="11"/>
  <c r="BB10" i="11"/>
  <c r="AW10" i="11"/>
  <c r="AX10" i="11"/>
  <c r="AB7" i="11"/>
  <c r="AA7" i="11"/>
  <c r="AF7" i="11"/>
  <c r="AE7" i="11"/>
  <c r="CI7" i="11"/>
  <c r="CE7" i="11"/>
  <c r="CH7" i="11"/>
  <c r="CD7" i="11"/>
  <c r="BK27" i="11"/>
  <c r="BM27" i="11" s="1"/>
  <c r="BH14" i="11"/>
  <c r="BI14" i="11"/>
  <c r="BM14" i="11"/>
  <c r="BL14" i="11"/>
  <c r="BG27" i="11"/>
  <c r="BI27" i="11" s="1"/>
  <c r="CH9" i="11"/>
  <c r="CD9" i="11"/>
  <c r="CI9" i="11"/>
  <c r="CE9" i="11"/>
  <c r="BB6" i="11"/>
  <c r="AW6" i="11"/>
  <c r="BA6" i="11"/>
  <c r="AX6" i="11"/>
  <c r="AV22" i="11"/>
  <c r="AZ22" i="11"/>
  <c r="CD6" i="11"/>
  <c r="CC22" i="11"/>
  <c r="CG22" i="11"/>
  <c r="CI6" i="11"/>
  <c r="CE6" i="11"/>
  <c r="CH6" i="11"/>
  <c r="BW11" i="11"/>
  <c r="BS11" i="11"/>
  <c r="BX11" i="11"/>
  <c r="BT11" i="11"/>
  <c r="T11" i="11"/>
  <c r="U11" i="11"/>
  <c r="Q11" i="11"/>
  <c r="P11" i="11"/>
  <c r="AF12" i="11"/>
  <c r="AE12" i="11"/>
  <c r="AA12" i="11"/>
  <c r="AB12" i="11"/>
  <c r="BL7" i="11"/>
  <c r="BM7" i="11"/>
  <c r="BH7" i="11"/>
  <c r="BI7" i="11"/>
  <c r="AQ7" i="11"/>
  <c r="AL7" i="11"/>
  <c r="AP7" i="11"/>
  <c r="AM7" i="11"/>
  <c r="CI14" i="11"/>
  <c r="CE14" i="11"/>
  <c r="CD14" i="11"/>
  <c r="CH14" i="11"/>
  <c r="CG27" i="11"/>
  <c r="CI27" i="11" s="1"/>
  <c r="CC27" i="11"/>
  <c r="CE27" i="11" s="1"/>
  <c r="J6" i="11"/>
  <c r="F6" i="11"/>
  <c r="F9" i="11"/>
  <c r="E9" i="11"/>
  <c r="F14" i="11"/>
  <c r="E10" i="11"/>
  <c r="F10" i="11"/>
  <c r="F13" i="11"/>
  <c r="E13" i="11"/>
  <c r="F8" i="11"/>
  <c r="E8" i="11"/>
  <c r="E12" i="11"/>
  <c r="F12" i="11"/>
  <c r="F7" i="11"/>
  <c r="E7" i="11"/>
  <c r="E11" i="11"/>
  <c r="F11" i="11"/>
  <c r="H27" i="11"/>
  <c r="H22" i="11"/>
  <c r="F32" i="11" s="1"/>
  <c r="D27" i="11"/>
  <c r="I14" i="11"/>
  <c r="I13" i="11"/>
  <c r="I12" i="11"/>
  <c r="I11" i="11"/>
  <c r="I10" i="11"/>
  <c r="I9" i="11"/>
  <c r="I8" i="11"/>
  <c r="I7" i="11"/>
  <c r="I6" i="11"/>
  <c r="H32" i="11" l="1"/>
  <c r="H33" i="11" s="1"/>
  <c r="H34" i="11" s="1"/>
  <c r="H35" i="11" s="1"/>
  <c r="H36" i="11" s="1"/>
  <c r="H37" i="11" s="1"/>
  <c r="H38" i="11" s="1"/>
  <c r="H39" i="11" s="1"/>
  <c r="C31" i="12" s="1"/>
  <c r="F27" i="11"/>
  <c r="D34" i="11"/>
  <c r="D35" i="11" s="1"/>
  <c r="D36" i="11" s="1"/>
  <c r="D37" i="11" s="1"/>
  <c r="D38" i="11" s="1"/>
  <c r="D39" i="11" s="1"/>
  <c r="C30" i="12" s="1"/>
  <c r="BA15" i="11"/>
  <c r="BB15" i="11" s="1"/>
  <c r="BB18" i="11" s="1"/>
  <c r="F33" i="11"/>
  <c r="F34" i="11" s="1"/>
  <c r="F35" i="11" s="1"/>
  <c r="F36" i="11" s="1"/>
  <c r="F37" i="11" s="1"/>
  <c r="F38" i="11" s="1"/>
  <c r="F39" i="11" s="1"/>
  <c r="CH15" i="11"/>
  <c r="CI15" i="11" s="1"/>
  <c r="CI18" i="11" s="1"/>
  <c r="P15" i="11"/>
  <c r="Q15" i="11" s="1"/>
  <c r="Q18" i="11" s="1"/>
  <c r="AA15" i="11"/>
  <c r="AE15" i="11"/>
  <c r="AF15" i="11" s="1"/>
  <c r="AF18" i="11" s="1"/>
  <c r="AW15" i="11"/>
  <c r="AP15" i="11"/>
  <c r="AQ15" i="11" s="1"/>
  <c r="AQ18" i="11" s="1"/>
  <c r="BW15" i="11"/>
  <c r="BX15" i="11" s="1"/>
  <c r="BX18" i="11" s="1"/>
  <c r="BH15" i="11"/>
  <c r="BI15" i="11" s="1"/>
  <c r="BI18" i="11" s="1"/>
  <c r="CD15" i="11"/>
  <c r="CE15" i="11" s="1"/>
  <c r="CE18" i="11" s="1"/>
  <c r="BL15" i="11"/>
  <c r="BM15" i="11" s="1"/>
  <c r="BM18" i="11" s="1"/>
  <c r="BS15" i="11"/>
  <c r="AL15" i="11"/>
  <c r="AM15" i="11" s="1"/>
  <c r="AM18" i="11" s="1"/>
  <c r="T15" i="11"/>
  <c r="U15" i="11" s="1"/>
  <c r="U18" i="11" s="1"/>
  <c r="I15" i="11"/>
  <c r="J15" i="11" s="1"/>
  <c r="E15" i="11"/>
  <c r="J27" i="11"/>
  <c r="J32" i="11"/>
  <c r="BB22" i="11" l="1"/>
  <c r="CI22" i="11"/>
  <c r="BI22" i="11"/>
  <c r="Q22" i="11"/>
  <c r="BT22" i="11"/>
  <c r="BT15" i="11"/>
  <c r="BT18" i="11" s="1"/>
  <c r="AM22" i="11"/>
  <c r="BM22" i="11"/>
  <c r="BX22" i="11"/>
  <c r="AQ22" i="11"/>
  <c r="U22" i="11"/>
  <c r="CE22" i="11"/>
  <c r="AX22" i="11"/>
  <c r="AX15" i="11"/>
  <c r="AX18" i="11" s="1"/>
  <c r="AF22" i="11"/>
  <c r="AB22" i="11"/>
  <c r="AB15" i="11"/>
  <c r="AB18" i="11" s="1"/>
  <c r="D30" i="12"/>
  <c r="J33" i="11"/>
  <c r="J34" i="11" s="1"/>
  <c r="J35" i="11" s="1"/>
  <c r="J36" i="11" s="1"/>
  <c r="J37" i="11" s="1"/>
  <c r="J38" i="11" s="1"/>
  <c r="J39" i="11" s="1"/>
  <c r="I32" i="11"/>
  <c r="K32" i="11"/>
  <c r="J22" i="11"/>
  <c r="G32" i="11" s="1"/>
  <c r="F15" i="11"/>
  <c r="F22" i="11"/>
  <c r="E32" i="11" s="1"/>
  <c r="E33" i="11" l="1"/>
  <c r="E34" i="11" s="1"/>
  <c r="E35" i="11" s="1"/>
  <c r="E36" i="11" s="1"/>
  <c r="E37" i="11" s="1"/>
  <c r="E38" i="11" s="1"/>
  <c r="E39" i="11" s="1"/>
  <c r="C33" i="12" s="1"/>
  <c r="G33" i="11"/>
  <c r="G34" i="11" s="1"/>
  <c r="G35" i="11" s="1"/>
  <c r="G36" i="11" s="1"/>
  <c r="G37" i="11" s="1"/>
  <c r="G38" i="11" s="1"/>
  <c r="G39" i="11" s="1"/>
  <c r="D33" i="12" s="1"/>
  <c r="D31" i="12"/>
  <c r="K33" i="11"/>
  <c r="K34" i="11" s="1"/>
  <c r="K35" i="11" s="1"/>
  <c r="K36" i="11" s="1"/>
  <c r="K37" i="11" s="1"/>
  <c r="K38" i="11" s="1"/>
  <c r="K39" i="11" s="1"/>
  <c r="I33" i="11"/>
  <c r="I34" i="11" s="1"/>
  <c r="I35" i="11" s="1"/>
  <c r="I36" i="11" s="1"/>
  <c r="I37" i="11" s="1"/>
  <c r="I38" i="11" s="1"/>
  <c r="I39" i="11" s="1"/>
  <c r="C34" i="12" s="1"/>
  <c r="F18" i="11"/>
  <c r="J18" i="11"/>
  <c r="C36" i="12" l="1"/>
  <c r="D34" i="12"/>
  <c r="D36" i="12" s="1"/>
  <c r="C37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650F56B-1FA9-4124-A714-C3ABB6F3D57C}" keepAlive="1" name="Query - Table46" description="Connection to the 'Table46' query in the workbook." type="5" refreshedVersion="0" background="1">
    <dbPr connection="Provider=Microsoft.Mashup.OleDb.1;Data Source=$Workbook$;Location=Table46;Extended Properties=&quot;&quot;" command="SELECT * FROM [Table46]"/>
  </connection>
</connections>
</file>

<file path=xl/sharedStrings.xml><?xml version="1.0" encoding="utf-8"?>
<sst xmlns="http://schemas.openxmlformats.org/spreadsheetml/2006/main" count="567" uniqueCount="192">
  <si>
    <t>Exam (established patient)</t>
  </si>
  <si>
    <t>Cleaning</t>
  </si>
  <si>
    <t>Fluoride treatment (non-varnish)</t>
  </si>
  <si>
    <t>X-rays (bitewing 4)</t>
  </si>
  <si>
    <t>Fillings (white, back tooth, 2 surfaces)</t>
  </si>
  <si>
    <t>Crowns (porcelain)</t>
  </si>
  <si>
    <t>Root canal (molar)</t>
  </si>
  <si>
    <t>Implant (single tooth)</t>
  </si>
  <si>
    <t>Braces (adolescent)</t>
  </si>
  <si>
    <t>Coverage Tier</t>
  </si>
  <si>
    <t>Subtotal</t>
  </si>
  <si>
    <t>Total</t>
  </si>
  <si>
    <t>Coverage %</t>
  </si>
  <si>
    <t>EE Cost</t>
  </si>
  <si>
    <t>Employer Cost</t>
  </si>
  <si>
    <t>Basic</t>
  </si>
  <si>
    <t>Single</t>
  </si>
  <si>
    <t>Family</t>
  </si>
  <si>
    <t>Number of Members</t>
  </si>
  <si>
    <t>Tiers</t>
  </si>
  <si>
    <t>Family Members</t>
  </si>
  <si>
    <t>Full Time Status</t>
  </si>
  <si>
    <t>3/4 Time</t>
  </si>
  <si>
    <t>1/2 Time</t>
  </si>
  <si>
    <t>Estimated Number of Services</t>
  </si>
  <si>
    <t>Three</t>
  </si>
  <si>
    <t>Four</t>
  </si>
  <si>
    <t>Five</t>
  </si>
  <si>
    <t>Six</t>
  </si>
  <si>
    <t>Seven</t>
  </si>
  <si>
    <t>Eight</t>
  </si>
  <si>
    <t>One</t>
  </si>
  <si>
    <t>Two</t>
  </si>
  <si>
    <t>Two_Person</t>
  </si>
  <si>
    <t>Column1</t>
  </si>
  <si>
    <t>FourFluoride</t>
  </si>
  <si>
    <t>OneFluoride</t>
  </si>
  <si>
    <t>TwoFluoride</t>
  </si>
  <si>
    <t>ThreeFluoride</t>
  </si>
  <si>
    <t>FiveFluoride</t>
  </si>
  <si>
    <t>SixFluoride</t>
  </si>
  <si>
    <t>SevenFluoride</t>
  </si>
  <si>
    <t>EightFluoride</t>
  </si>
  <si>
    <t>OneBraces</t>
  </si>
  <si>
    <t>TwoBraces</t>
  </si>
  <si>
    <t>ThreeBraces</t>
  </si>
  <si>
    <t>FourBraces</t>
  </si>
  <si>
    <t>FiveBraces</t>
  </si>
  <si>
    <t>SixBraces</t>
  </si>
  <si>
    <t>SevenBraces</t>
  </si>
  <si>
    <t>EightBraces</t>
  </si>
  <si>
    <t>Annual Premium</t>
  </si>
  <si>
    <t>Full Time</t>
  </si>
  <si>
    <t>Est. Total Cost</t>
  </si>
  <si>
    <t>Est. Out-Of-Pocket Cost</t>
  </si>
  <si>
    <t>Premium</t>
  </si>
  <si>
    <t>Estimated Out-Of-Pocket Cost Orthodontia</t>
  </si>
  <si>
    <t>Employee Info</t>
  </si>
  <si>
    <t>INPUTS</t>
  </si>
  <si>
    <t>OneFillings</t>
  </si>
  <si>
    <t>TwoFillings</t>
  </si>
  <si>
    <t>ThreeFillings</t>
  </si>
  <si>
    <t>FourFillings</t>
  </si>
  <si>
    <t>FiveFillings</t>
  </si>
  <si>
    <t>SixFillings</t>
  </si>
  <si>
    <t>SevenFillings</t>
  </si>
  <si>
    <t>EightFillings</t>
  </si>
  <si>
    <t>OneRootCanal</t>
  </si>
  <si>
    <t>TwoRootCanal</t>
  </si>
  <si>
    <t>ThreeRootCanal</t>
  </si>
  <si>
    <t>FourRootCanal</t>
  </si>
  <si>
    <t>FiveRootCanal</t>
  </si>
  <si>
    <t>SixRootCanal</t>
  </si>
  <si>
    <t>SevenRootCanal</t>
  </si>
  <si>
    <t>EightRootCanal</t>
  </si>
  <si>
    <t>RESULTS</t>
  </si>
  <si>
    <t>Delta Dental</t>
  </si>
  <si>
    <t>Basic DPO</t>
  </si>
  <si>
    <t>Premium DPO</t>
  </si>
  <si>
    <t>Basic DPO Single</t>
  </si>
  <si>
    <t>Basic DPO Two_Person</t>
  </si>
  <si>
    <t>Basic DPO Family</t>
  </si>
  <si>
    <t>Premium DPO Single</t>
  </si>
  <si>
    <t>Premium DPO Two_Person</t>
  </si>
  <si>
    <t>Premium DPO Family</t>
  </si>
  <si>
    <t>Estimated Total Annual Cost</t>
  </si>
  <si>
    <t>Estimated Total Cost for Dental Services</t>
  </si>
  <si>
    <t>Estimated Total Cost for Orthodontia</t>
  </si>
  <si>
    <t>Estimated Out-Of-Pocket Cost Dental Services</t>
  </si>
  <si>
    <t>Annual Payroll Deduction</t>
  </si>
  <si>
    <t>Dental Services</t>
  </si>
  <si>
    <t>Basic Plan</t>
  </si>
  <si>
    <t>Premium Plan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</si>
  <si>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</si>
  <si>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</si>
  <si>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</si>
  <si>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</si>
  <si>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</si>
  <si>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</si>
  <si>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</si>
  <si>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</si>
  <si>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</si>
  <si>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</si>
  <si>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</si>
  <si>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</si>
  <si>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</si>
  <si>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</si>
  <si>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</si>
  <si>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</si>
  <si>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To avoid #REF errors, please do not move anything on this tab</t>
  </si>
  <si>
    <t>Orthodontia</t>
  </si>
  <si>
    <t>TOTAL</t>
  </si>
  <si>
    <t>Est. OOP Cost</t>
  </si>
  <si>
    <t>Members</t>
  </si>
  <si>
    <t>Presets</t>
  </si>
  <si>
    <t>Utilization</t>
  </si>
  <si>
    <t>Individual Child</t>
  </si>
  <si>
    <t>Individual Adult</t>
  </si>
  <si>
    <t>Exam</t>
  </si>
  <si>
    <t>Xray</t>
  </si>
  <si>
    <t>Fluoride</t>
  </si>
  <si>
    <t>Filling</t>
  </si>
  <si>
    <t>RootCanal</t>
  </si>
  <si>
    <t>Crown</t>
  </si>
  <si>
    <t>Implant</t>
  </si>
  <si>
    <t>Braces</t>
  </si>
  <si>
    <t>Two Person</t>
  </si>
  <si>
    <t>Procedure Costs</t>
  </si>
  <si>
    <t>PPO</t>
  </si>
  <si>
    <t>Basic Annual Limit per Member</t>
  </si>
  <si>
    <t>Premium Annual Limit per Member</t>
  </si>
  <si>
    <t>Delta Dental of Michigan</t>
  </si>
  <si>
    <t>Clinton, Eaton, &amp; Ingham County Average Allowed Charges</t>
  </si>
  <si>
    <t>January 2023 to June 2023</t>
  </si>
  <si>
    <t>ADA</t>
  </si>
  <si>
    <t>Code</t>
  </si>
  <si>
    <t>Description</t>
  </si>
  <si>
    <t>Premier</t>
  </si>
  <si>
    <t>OON</t>
  </si>
  <si>
    <t>D0120</t>
  </si>
  <si>
    <t>periodic oral evaluation - established patient</t>
  </si>
  <si>
    <t>D0274</t>
  </si>
  <si>
    <t>bitewings - four radiographic images</t>
  </si>
  <si>
    <t>D0330</t>
  </si>
  <si>
    <t>panoramic radiographic image</t>
  </si>
  <si>
    <t>D1110</t>
  </si>
  <si>
    <t>prophylaxis - adult</t>
  </si>
  <si>
    <t>D1120</t>
  </si>
  <si>
    <t>prophylaxis - child</t>
  </si>
  <si>
    <t>D1208</t>
  </si>
  <si>
    <t>topical application of fluoride – excluding varnish</t>
  </si>
  <si>
    <t>D2392</t>
  </si>
  <si>
    <t>resin-based composite - two surfaces, posterior</t>
  </si>
  <si>
    <t>D2740</t>
  </si>
  <si>
    <t>crown - porcelain/ceramic</t>
  </si>
  <si>
    <t>D3330</t>
  </si>
  <si>
    <t>endodontic therapy, molar tooth (excluding final restoration)</t>
  </si>
  <si>
    <t>D6010</t>
  </si>
  <si>
    <t>surgical placement of implant body: endosteal implant</t>
  </si>
  <si>
    <t>D7240</t>
  </si>
  <si>
    <t>removal of impacted tooth - completely bony</t>
  </si>
  <si>
    <t>D8080</t>
  </si>
  <si>
    <t>comprehensive orthodontic treatment of the adolescent dentition</t>
  </si>
  <si>
    <t>Weighted</t>
  </si>
  <si>
    <t>Michigan State University Delta Dental Plan Election Tool</t>
  </si>
  <si>
    <t>Employment Status</t>
  </si>
  <si>
    <t>Less Expensive Plan Option:</t>
  </si>
  <si>
    <t>Price per Procedure</t>
  </si>
  <si>
    <t>Procedure</t>
  </si>
  <si>
    <t>Member 1 Number of Procedures</t>
  </si>
  <si>
    <t>Member 2 Number of Procedures</t>
  </si>
  <si>
    <t>Weighted Cost</t>
  </si>
  <si>
    <t>Member 3 Number of Procedures</t>
  </si>
  <si>
    <t>Member 4 Number of Procedures</t>
  </si>
  <si>
    <t>Member 5 Number of Procedures</t>
  </si>
  <si>
    <t>Member 6 Number of Procedures</t>
  </si>
  <si>
    <t>Member 7 Number of Procedures</t>
  </si>
  <si>
    <t>Member 8 Number of Procedures</t>
  </si>
  <si>
    <t>Utilization Election</t>
  </si>
  <si>
    <t>Cleaning - Child</t>
  </si>
  <si>
    <t>Cleaning - Adult</t>
  </si>
  <si>
    <t>Child - Low</t>
  </si>
  <si>
    <t>Child - Average</t>
  </si>
  <si>
    <t>Child - High</t>
  </si>
  <si>
    <t>Adult - Low</t>
  </si>
  <si>
    <t>Adult - Average</t>
  </si>
  <si>
    <t>Adult - High</t>
  </si>
  <si>
    <t>Adult - Util</t>
  </si>
  <si>
    <t>Child - Util</t>
  </si>
  <si>
    <t>Y</t>
  </si>
  <si>
    <t>N</t>
  </si>
  <si>
    <r>
      <t>To get started: Click on each</t>
    </r>
    <r>
      <rPr>
        <sz val="11"/>
        <rFont val="Arial"/>
        <family val="2"/>
      </rPr>
      <t xml:space="preserve"> blue cell</t>
    </r>
    <r>
      <rPr>
        <sz val="11"/>
        <color theme="1"/>
        <rFont val="Arial"/>
        <family val="2"/>
      </rPr>
      <t xml:space="preserve"> to display a drop-down arrow. After clicking the arrow, please select your input.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</si>
</sst>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  <fill>
      <patternFill patternType="solid">
        <fgColor rgb="FF43B02A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7" borderId="11" applyNumberFormat="0" applyFont="0" applyAlignment="0" applyProtection="0"/>
  </cellStyleXfs>
  <cellXfs count="160">
    <xf numFmtId="0" fontId="0" fillId="0" borderId="0" xfId="0"/>
    <xf numFmtId="0" fontId="0" fillId="0" borderId="0" xfId="0" applyFont="1"/>
    <xf numFmtId="44" fontId="0" fillId="0" borderId="0" xfId="1" applyFont="1"/>
    <xf numFmtId="12" fontId="0" fillId="0" borderId="0" xfId="0" applyNumberFormat="1"/>
    <xf numFmtId="0" fontId="0" fillId="0" borderId="0" xfId="0" applyBorder="1" applyAlignment="1"/>
    <xf numFmtId="0" fontId="0" fillId="2" borderId="4" xfId="0" applyFill="1" applyBorder="1"/>
    <xf numFmtId="0" fontId="0" fillId="0" borderId="4" xfId="0" applyBorder="1"/>
    <xf numFmtId="0" fontId="0" fillId="0" borderId="5" xfId="0" applyBorder="1"/>
    <xf numFmtId="0" fontId="0" fillId="6" borderId="1" xfId="0" applyFill="1" applyBorder="1"/>
    <xf numFmtId="0" fontId="0" fillId="6" borderId="6" xfId="0" applyFont="1" applyFill="1" applyBorder="1"/>
    <xf numFmtId="0" fontId="0" fillId="6" borderId="4" xfId="0" applyFont="1" applyFill="1" applyBorder="1"/>
    <xf numFmtId="0" fontId="0" fillId="6" borderId="4" xfId="0" applyFill="1" applyBorder="1"/>
    <xf numFmtId="0" fontId="0" fillId="6" borderId="5" xfId="0" applyFill="1" applyBorder="1"/>
    <xf numFmtId="164" fontId="0" fillId="0" borderId="0" xfId="0" applyNumberFormat="1"/>
    <xf numFmtId="44" fontId="0" fillId="0" borderId="0" xfId="0" applyNumberFormat="1"/>
    <xf numFmtId="0" fontId="3" fillId="0" borderId="0" xfId="0" applyFont="1"/>
    <xf numFmtId="0" fontId="0" fillId="0" borderId="0" xfId="0" applyAlignment="1"/>
    <xf numFmtId="0" fontId="4" fillId="3" borderId="10" xfId="0" applyFont="1" applyFill="1" applyBorder="1" applyAlignment="1">
      <alignment horizontal="center"/>
    </xf>
    <xf numFmtId="0" fontId="0" fillId="8" borderId="15" xfId="0" applyFill="1" applyBorder="1"/>
    <xf numFmtId="0" fontId="0" fillId="8" borderId="0" xfId="0" applyFill="1" applyBorder="1"/>
    <xf numFmtId="0" fontId="0" fillId="8" borderId="2" xfId="0" applyFill="1" applyBorder="1"/>
    <xf numFmtId="0" fontId="0" fillId="8" borderId="12" xfId="0" applyFill="1" applyBorder="1"/>
    <xf numFmtId="0" fontId="0" fillId="8" borderId="6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0" borderId="4" xfId="0" applyNumberFormat="1" applyBorder="1"/>
    <xf numFmtId="0" fontId="6" fillId="10" borderId="0" xfId="0" applyFont="1" applyFill="1"/>
    <xf numFmtId="0" fontId="0" fillId="10" borderId="0" xfId="0" applyFill="1"/>
    <xf numFmtId="0" fontId="3" fillId="0" borderId="0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3" xfId="0" applyFont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4" borderId="6" xfId="0" applyFill="1" applyBorder="1"/>
    <xf numFmtId="0" fontId="0" fillId="4" borderId="4" xfId="0" applyFill="1" applyBorder="1"/>
    <xf numFmtId="0" fontId="0" fillId="4" borderId="5" xfId="0" applyFill="1" applyBorder="1"/>
    <xf numFmtId="0" fontId="8" fillId="11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6" fontId="0" fillId="12" borderId="1" xfId="0" applyNumberFormat="1" applyFill="1" applyBorder="1" applyAlignment="1">
      <alignment horizontal="left"/>
    </xf>
    <xf numFmtId="6" fontId="2" fillId="12" borderId="1" xfId="0" applyNumberFormat="1" applyFont="1" applyFill="1" applyBorder="1" applyAlignment="1">
      <alignment horizontal="left"/>
    </xf>
    <xf numFmtId="165" fontId="0" fillId="9" borderId="5" xfId="1" applyNumberFormat="1" applyFont="1" applyFill="1" applyBorder="1" applyAlignment="1">
      <alignment horizontal="right"/>
    </xf>
    <xf numFmtId="165" fontId="0" fillId="8" borderId="12" xfId="1" applyNumberFormat="1" applyFont="1" applyFill="1" applyBorder="1"/>
    <xf numFmtId="165" fontId="0" fillId="8" borderId="3" xfId="0" applyNumberFormat="1" applyFill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4" xfId="0" applyNumberFormat="1" applyBorder="1"/>
    <xf numFmtId="165" fontId="0" fillId="0" borderId="7" xfId="1" applyNumberFormat="1" applyFont="1" applyBorder="1"/>
    <xf numFmtId="165" fontId="0" fillId="0" borderId="5" xfId="0" applyNumberFormat="1" applyBorder="1"/>
    <xf numFmtId="165" fontId="0" fillId="8" borderId="12" xfId="0" applyNumberFormat="1" applyFill="1" applyBorder="1"/>
    <xf numFmtId="0" fontId="6" fillId="0" borderId="0" xfId="0" applyFont="1"/>
    <xf numFmtId="0" fontId="5" fillId="0" borderId="0" xfId="0" applyFont="1"/>
    <xf numFmtId="0" fontId="9" fillId="0" borderId="0" xfId="0" applyFont="1"/>
    <xf numFmtId="0" fontId="8" fillId="14" borderId="18" xfId="0" applyFont="1" applyFill="1" applyBorder="1" applyAlignment="1">
      <alignment horizontal="center"/>
    </xf>
    <xf numFmtId="0" fontId="8" fillId="14" borderId="19" xfId="0" applyFont="1" applyFill="1" applyBorder="1" applyAlignment="1">
      <alignment horizontal="center"/>
    </xf>
    <xf numFmtId="0" fontId="8" fillId="14" borderId="20" xfId="0" applyFont="1" applyFill="1" applyBorder="1" applyAlignment="1">
      <alignment horizontal="center"/>
    </xf>
    <xf numFmtId="0" fontId="8" fillId="14" borderId="21" xfId="0" applyFont="1" applyFill="1" applyBorder="1" applyAlignment="1">
      <alignment horizontal="center"/>
    </xf>
    <xf numFmtId="0" fontId="8" fillId="14" borderId="22" xfId="0" applyFont="1" applyFill="1" applyBorder="1" applyAlignment="1">
      <alignment horizontal="center"/>
    </xf>
    <xf numFmtId="0" fontId="8" fillId="14" borderId="23" xfId="0" applyFont="1" applyFill="1" applyBorder="1" applyAlignment="1">
      <alignment horizontal="center"/>
    </xf>
    <xf numFmtId="0" fontId="0" fillId="0" borderId="24" xfId="0" applyBorder="1"/>
    <xf numFmtId="5" fontId="0" fillId="0" borderId="24" xfId="0" applyNumberFormat="1" applyBorder="1"/>
    <xf numFmtId="0" fontId="0" fillId="0" borderId="25" xfId="0" applyBorder="1"/>
    <xf numFmtId="5" fontId="0" fillId="0" borderId="25" xfId="0" applyNumberFormat="1" applyBorder="1"/>
    <xf numFmtId="0" fontId="0" fillId="0" borderId="26" xfId="0" applyBorder="1"/>
    <xf numFmtId="5" fontId="0" fillId="0" borderId="26" xfId="0" applyNumberFormat="1" applyBorder="1"/>
    <xf numFmtId="9" fontId="0" fillId="10" borderId="1" xfId="0" applyNumberFormat="1" applyFill="1" applyBorder="1"/>
    <xf numFmtId="165" fontId="0" fillId="0" borderId="1" xfId="0" applyNumberFormat="1" applyBorder="1"/>
    <xf numFmtId="0" fontId="11" fillId="0" borderId="0" xfId="0" applyFont="1"/>
    <xf numFmtId="0" fontId="13" fillId="13" borderId="8" xfId="0" applyFont="1" applyFill="1" applyBorder="1" applyAlignment="1">
      <alignment horizontal="center"/>
    </xf>
    <xf numFmtId="0" fontId="13" fillId="13" borderId="10" xfId="0" applyFont="1" applyFill="1" applyBorder="1" applyAlignment="1">
      <alignment horizontal="center"/>
    </xf>
    <xf numFmtId="0" fontId="14" fillId="0" borderId="15" xfId="0" applyFont="1" applyBorder="1"/>
    <xf numFmtId="0" fontId="15" fillId="0" borderId="0" xfId="0" applyFont="1"/>
    <xf numFmtId="0" fontId="14" fillId="0" borderId="16" xfId="0" applyFont="1" applyBorder="1"/>
    <xf numFmtId="0" fontId="11" fillId="0" borderId="0" xfId="0" applyFont="1" applyAlignment="1">
      <alignment horizontal="center" vertical="center"/>
    </xf>
    <xf numFmtId="0" fontId="14" fillId="0" borderId="0" xfId="0" applyFont="1" applyFill="1" applyBorder="1"/>
    <xf numFmtId="44" fontId="11" fillId="0" borderId="0" xfId="1" applyFont="1"/>
    <xf numFmtId="0" fontId="14" fillId="0" borderId="4" xfId="0" applyFont="1" applyBorder="1"/>
    <xf numFmtId="166" fontId="11" fillId="0" borderId="2" xfId="1" applyNumberFormat="1" applyFont="1" applyBorder="1" applyAlignment="1">
      <alignment horizontal="right" indent="3"/>
    </xf>
    <xf numFmtId="0" fontId="11" fillId="0" borderId="4" xfId="0" applyFont="1" applyBorder="1"/>
    <xf numFmtId="166" fontId="11" fillId="0" borderId="2" xfId="0" applyNumberFormat="1" applyFont="1" applyBorder="1" applyAlignment="1">
      <alignment horizontal="right" indent="3"/>
    </xf>
    <xf numFmtId="0" fontId="13" fillId="13" borderId="5" xfId="0" applyFont="1" applyFill="1" applyBorder="1" applyAlignment="1">
      <alignment horizontal="left"/>
    </xf>
    <xf numFmtId="0" fontId="13" fillId="13" borderId="8" xfId="0" applyFont="1" applyFill="1" applyBorder="1" applyAlignment="1">
      <alignment horizontal="left"/>
    </xf>
    <xf numFmtId="166" fontId="11" fillId="0" borderId="6" xfId="1" applyNumberFormat="1" applyFont="1" applyBorder="1" applyAlignment="1">
      <alignment horizontal="right" indent="3"/>
    </xf>
    <xf numFmtId="166" fontId="11" fillId="0" borderId="4" xfId="1" applyNumberFormat="1" applyFont="1" applyBorder="1" applyAlignment="1">
      <alignment horizontal="right" indent="3"/>
    </xf>
    <xf numFmtId="166" fontId="11" fillId="0" borderId="4" xfId="0" applyNumberFormat="1" applyFont="1" applyBorder="1" applyAlignment="1">
      <alignment horizontal="right" indent="3"/>
    </xf>
    <xf numFmtId="0" fontId="13" fillId="13" borderId="27" xfId="0" applyFont="1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9" fontId="0" fillId="0" borderId="4" xfId="2" applyFont="1" applyBorder="1" applyAlignment="1">
      <alignment horizontal="center"/>
    </xf>
    <xf numFmtId="166" fontId="0" fillId="4" borderId="15" xfId="0" applyNumberFormat="1" applyFill="1" applyBorder="1"/>
    <xf numFmtId="166" fontId="0" fillId="4" borderId="0" xfId="0" applyNumberFormat="1" applyFill="1" applyBorder="1"/>
    <xf numFmtId="166" fontId="0" fillId="4" borderId="2" xfId="0" applyNumberFormat="1" applyFill="1" applyBorder="1"/>
    <xf numFmtId="166" fontId="0" fillId="4" borderId="16" xfId="0" applyNumberFormat="1" applyFill="1" applyBorder="1"/>
    <xf numFmtId="166" fontId="0" fillId="4" borderId="12" xfId="0" applyNumberFormat="1" applyFill="1" applyBorder="1"/>
    <xf numFmtId="166" fontId="0" fillId="4" borderId="3" xfId="0" applyNumberFormat="1" applyFill="1" applyBorder="1"/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6" xfId="0" applyFont="1" applyFill="1" applyBorder="1"/>
    <xf numFmtId="0" fontId="11" fillId="6" borderId="4" xfId="0" applyFont="1" applyFill="1" applyBorder="1"/>
    <xf numFmtId="0" fontId="11" fillId="6" borderId="5" xfId="0" applyFont="1" applyFill="1" applyBorder="1"/>
    <xf numFmtId="0" fontId="13" fillId="13" borderId="13" xfId="0" applyFont="1" applyFill="1" applyBorder="1" applyAlignment="1">
      <alignment horizontal="left"/>
    </xf>
    <xf numFmtId="0" fontId="13" fillId="13" borderId="14" xfId="0" applyFont="1" applyFill="1" applyBorder="1" applyAlignment="1">
      <alignment horizontal="center"/>
    </xf>
    <xf numFmtId="0" fontId="14" fillId="0" borderId="13" xfId="0" applyFont="1" applyBorder="1"/>
    <xf numFmtId="0" fontId="14" fillId="0" borderId="0" xfId="0" applyFont="1"/>
    <xf numFmtId="0" fontId="11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0" fillId="4" borderId="16" xfId="0" applyFill="1" applyBorder="1"/>
    <xf numFmtId="0" fontId="0" fillId="4" borderId="12" xfId="0" applyFill="1" applyBorder="1"/>
    <xf numFmtId="0" fontId="0" fillId="4" borderId="3" xfId="0" applyFill="1" applyBorder="1"/>
    <xf numFmtId="0" fontId="0" fillId="2" borderId="1" xfId="0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/>
      <protection locked="0"/>
    </xf>
    <xf numFmtId="0" fontId="13" fillId="13" borderId="10" xfId="0" applyFont="1" applyFill="1" applyBorder="1" applyAlignment="1" applyProtection="1">
      <alignment horizontal="center"/>
      <protection locked="0"/>
    </xf>
    <xf numFmtId="0" fontId="2" fillId="0" borderId="29" xfId="0" applyFont="1" applyBorder="1"/>
    <xf numFmtId="0" fontId="0" fillId="15" borderId="0" xfId="0" applyFont="1" applyFill="1"/>
    <xf numFmtId="0" fontId="3" fillId="0" borderId="14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1" fillId="6" borderId="5" xfId="0" applyFont="1" applyFill="1" applyBorder="1" applyAlignment="1">
      <alignment horizontal="center" vertical="center"/>
    </xf>
    <xf numFmtId="0" fontId="11" fillId="0" borderId="9" xfId="0" applyFont="1" applyFill="1" applyBorder="1"/>
    <xf numFmtId="0" fontId="11" fillId="0" borderId="17" xfId="0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12" fillId="13" borderId="0" xfId="0" applyFont="1" applyFill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38" fontId="8" fillId="11" borderId="8" xfId="0" applyNumberFormat="1" applyFont="1" applyFill="1" applyBorder="1" applyAlignment="1">
      <alignment horizontal="center"/>
    </xf>
    <xf numFmtId="38" fontId="8" fillId="11" borderId="9" xfId="0" applyNumberFormat="1" applyFont="1" applyFill="1" applyBorder="1" applyAlignment="1">
      <alignment horizontal="center"/>
    </xf>
    <xf numFmtId="38" fontId="8" fillId="11" borderId="10" xfId="0" applyNumberFormat="1" applyFont="1" applyFill="1" applyBorder="1" applyAlignment="1">
      <alignment horizontal="center"/>
    </xf>
    <xf numFmtId="0" fontId="11" fillId="8" borderId="15" xfId="3" applyFont="1" applyFill="1" applyBorder="1" applyAlignment="1">
      <alignment horizontal="center"/>
    </xf>
    <xf numFmtId="0" fontId="11" fillId="8" borderId="0" xfId="3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te" xfId="3" builtinId="10"/>
    <cellStyle name="Percent" xfId="2" builtinId="5"/>
  </cellStyles>
  <dxfs count="28">
    <dxf>
      <numFmt numFmtId="0" formatCode="General"/>
    </dxf>
    <dxf>
      <fill>
        <patternFill>
          <bgColor rgb="FFFF0000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numFmt numFmtId="167" formatCode=";;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numFmt numFmtId="167" formatCode=";;;"/>
      <fill>
        <patternFill patternType="none">
          <bgColor auto="1"/>
        </patternFill>
      </fill>
      <border>
        <left style="thin">
          <color auto="1"/>
        </left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453B"/>
      <color rgb="FF1F3214"/>
      <color rgb="FF00602B"/>
      <color rgb="FFD00000"/>
      <color rgb="FF00823B"/>
      <color rgb="FF8A0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30068</xdr:colOff>
      <xdr:row>19</xdr:row>
      <xdr:rowOff>5715</xdr:rowOff>
    </xdr:from>
    <xdr:to>
      <xdr:col>6</xdr:col>
      <xdr:colOff>590241</xdr:colOff>
      <xdr:row>43</xdr:row>
      <xdr:rowOff>68581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A956C8-F475-474F-AE1F-1709991003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79" t="15894" r="59419" b="17307"/>
        <a:stretch/>
      </xdr:blipFill>
      <xdr:spPr>
        <a:xfrm>
          <a:off x="639668" y="3596640"/>
          <a:ext cx="8180173" cy="44062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4" totalsRowShown="0">
  <autoFilter ref="A1:A4" xr:uid="{00000000-0009-0000-0100-000001000000}"/>
  <tableColumns count="1">
    <tableColumn id="1" xr3:uid="{00000000-0010-0000-0000-000001000000}" name="Tiers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F1:F4" totalsRowShown="0">
  <autoFilter ref="F1:F4" xr:uid="{00000000-0009-0000-0100-00000B000000}"/>
  <tableColumns count="1">
    <tableColumn id="1" xr3:uid="{00000000-0010-0000-0900-000001000000}" name="One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G1:G6" totalsRowShown="0">
  <autoFilter ref="G1:G6" xr:uid="{00000000-0009-0000-0100-00000C000000}"/>
  <tableColumns count="1">
    <tableColumn id="1" xr3:uid="{00000000-0010-0000-0A00-000001000000}" name="Two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Q1:Q2" totalsRowShown="0">
  <autoFilter ref="Q1:Q2" xr:uid="{00000000-0009-0000-0100-00000D000000}"/>
  <tableColumns count="1">
    <tableColumn id="1" xr3:uid="{00000000-0010-0000-0B00-000001000000}" name="Single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S1:S2" totalsRowShown="0">
  <autoFilter ref="S1:S2" xr:uid="{00000000-0009-0000-0100-00000E000000}"/>
  <tableColumns count="1">
    <tableColumn id="1" xr3:uid="{00000000-0010-0000-0C00-000001000000}" name="Two Person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D000000}" name="Table8" displayName="Table8" ref="Y1:Y6" totalsRowShown="0">
  <autoFilter ref="Y1:Y6" xr:uid="{00000000-0009-0000-0100-000008000000}"/>
  <tableColumns count="1">
    <tableColumn id="1" xr3:uid="{00000000-0010-0000-0D00-000001000000}" name="FourFluoride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Z1:Z8" totalsRowShown="0">
  <autoFilter ref="Z1:Z8" xr:uid="{00000000-0009-0000-0100-00000F000000}"/>
  <tableColumns count="1">
    <tableColumn id="1" xr3:uid="{00000000-0010-0000-0E00-000001000000}" name="FiveFluoride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6" displayName="Table16" ref="AA1:AA10" totalsRowShown="0">
  <autoFilter ref="AA1:AA10" xr:uid="{00000000-0009-0000-0100-000010000000}"/>
  <tableColumns count="1">
    <tableColumn id="1" xr3:uid="{00000000-0010-0000-0F00-000001000000}" name="SixFluoride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7" displayName="Table17" ref="AB1:AB12" totalsRowShown="0">
  <autoFilter ref="AB1:AB12" xr:uid="{00000000-0009-0000-0100-000011000000}"/>
  <tableColumns count="1">
    <tableColumn id="1" xr3:uid="{00000000-0010-0000-1000-000001000000}" name="SevenFluoride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8" displayName="Table18" ref="AC1:AC14" totalsRowShown="0">
  <autoFilter ref="AC1:AC14" xr:uid="{00000000-0009-0000-0100-000012000000}"/>
  <tableColumns count="1">
    <tableColumn id="1" xr3:uid="{00000000-0010-0000-1100-000001000000}" name="EightFluoride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9" displayName="Table19" ref="W1:W4" totalsRowShown="0">
  <autoFilter ref="W1:W4" xr:uid="{00000000-0009-0000-0100-000013000000}"/>
  <tableColumns count="1">
    <tableColumn id="1" xr3:uid="{00000000-0010-0000-1200-000001000000}" name="TwoFluorid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:C7" totalsRowShown="0">
  <autoFilter ref="B1:C7" xr:uid="{00000000-0009-0000-0100-000002000000}"/>
  <tableColumns count="2">
    <tableColumn id="1" xr3:uid="{00000000-0010-0000-0100-000001000000}" name="Family Members"/>
    <tableColumn id="2" xr3:uid="{00000000-0010-0000-0100-000002000000}" name="Column1" dataDxfId="0">
      <calculatedColumnFormula>IF(OR(AND(B1='References (Hide)'!$A$2,B2&lt;&gt;""), AND(B1="Two_Person", B2 &lt;&gt;"Two"), AND(B1="Family", B2&lt;3)), "ERROR - IMPOSSIBLE", "")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0" displayName="Table20" ref="X1:X4" totalsRowShown="0">
  <autoFilter ref="X1:X4" xr:uid="{00000000-0009-0000-0100-000014000000}"/>
  <tableColumns count="1">
    <tableColumn id="1" xr3:uid="{00000000-0010-0000-1300-000001000000}" name="ThreeFluoride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21" displayName="Table21" ref="V1:V2" totalsRowShown="0">
  <autoFilter ref="V1:V2" xr:uid="{00000000-0009-0000-0100-000015000000}"/>
  <tableColumns count="1">
    <tableColumn id="1" xr3:uid="{00000000-0010-0000-1400-000001000000}" name="OneFluoride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22" displayName="Table22" ref="AF1:AF2" totalsRowShown="0">
  <autoFilter ref="AF1:AF2" xr:uid="{00000000-0009-0000-0100-000016000000}"/>
  <tableColumns count="1">
    <tableColumn id="1" xr3:uid="{00000000-0010-0000-1500-000001000000}" name="OneBraces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23" displayName="Table23" ref="AG1:AG3" totalsRowShown="0">
  <autoFilter ref="AG1:AG3" xr:uid="{00000000-0009-0000-0100-000017000000}"/>
  <tableColumns count="1">
    <tableColumn id="1" xr3:uid="{00000000-0010-0000-1600-000001000000}" name="TwoBraces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24" displayName="Table24" ref="AH1:AH3" totalsRowShown="0">
  <autoFilter ref="AH1:AH3" xr:uid="{00000000-0009-0000-0100-000018000000}"/>
  <tableColumns count="1">
    <tableColumn id="1" xr3:uid="{00000000-0010-0000-1700-000001000000}" name="ThreeBraces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25" displayName="Table25" ref="AI1:AI4" totalsRowShown="0">
  <autoFilter ref="AI1:AI4" xr:uid="{00000000-0009-0000-0100-000019000000}"/>
  <tableColumns count="1">
    <tableColumn id="1" xr3:uid="{00000000-0010-0000-1800-000001000000}" name="FourBraces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26" displayName="Table26" ref="AJ1:AJ5" totalsRowShown="0">
  <autoFilter ref="AJ1:AJ5" xr:uid="{00000000-0009-0000-0100-00001A000000}"/>
  <tableColumns count="1">
    <tableColumn id="1" xr3:uid="{00000000-0010-0000-1900-000001000000}" name="FiveBraces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27" displayName="Table27" ref="AK1:AK6" totalsRowShown="0">
  <autoFilter ref="AK1:AK6" xr:uid="{00000000-0009-0000-0100-00001B000000}"/>
  <tableColumns count="1">
    <tableColumn id="1" xr3:uid="{00000000-0010-0000-1A00-000001000000}" name="SixBraces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28" displayName="Table28" ref="AL1:AL7" totalsRowShown="0">
  <autoFilter ref="AL1:AL7" xr:uid="{00000000-0009-0000-0100-00001C000000}"/>
  <tableColumns count="1">
    <tableColumn id="1" xr3:uid="{00000000-0010-0000-1B00-000001000000}" name="SevenBraces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29" displayName="Table29" ref="AM1:AM8" totalsRowShown="0">
  <autoFilter ref="AM1:AM8" xr:uid="{00000000-0009-0000-0100-00001D000000}"/>
  <tableColumns count="1">
    <tableColumn id="1" xr3:uid="{00000000-0010-0000-1C00-000001000000}" name="EightBrac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D1:D4" totalsRowShown="0">
  <autoFilter ref="D1:D4" xr:uid="{00000000-0009-0000-0100-000003000000}"/>
  <tableColumns count="1">
    <tableColumn id="1" xr3:uid="{00000000-0010-0000-0200-000001000000}" name="Full Time Status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30" displayName="Table30" ref="AP1:AP5" totalsRowShown="0">
  <autoFilter ref="AP1:AP5" xr:uid="{00000000-0009-0000-0100-00001E000000}"/>
  <tableColumns count="1">
    <tableColumn id="1" xr3:uid="{00000000-0010-0000-1D00-000001000000}" name="OneFillings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Q1:AQ8" totalsRowShown="0">
  <autoFilter ref="AQ1:AQ8" xr:uid="{00000000-0009-0000-0100-00001F000000}"/>
  <tableColumns count="1">
    <tableColumn id="1" xr3:uid="{00000000-0010-0000-1E00-000001000000}" name="TwoFillings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R1:AR11" totalsRowShown="0">
  <autoFilter ref="AR1:AR11" xr:uid="{00000000-0009-0000-0100-000020000000}"/>
  <tableColumns count="1">
    <tableColumn id="1" xr3:uid="{00000000-0010-0000-1F00-000001000000}" name="ThreeFillings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33" displayName="Table33" ref="AS1:AS14" totalsRowShown="0">
  <autoFilter ref="AS1:AS14" xr:uid="{00000000-0009-0000-0100-000021000000}"/>
  <tableColumns count="1">
    <tableColumn id="1" xr3:uid="{00000000-0010-0000-2000-000001000000}" name="FourFillings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34" displayName="Table34" ref="AT1:AT17" totalsRowShown="0">
  <autoFilter ref="AT1:AT17" xr:uid="{00000000-0009-0000-0100-000022000000}"/>
  <tableColumns count="1">
    <tableColumn id="1" xr3:uid="{00000000-0010-0000-2100-000001000000}" name="FiveFillings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U1:AU20" totalsRowShown="0">
  <autoFilter ref="AU1:AU20" xr:uid="{00000000-0009-0000-0100-000023000000}"/>
  <tableColumns count="1">
    <tableColumn id="1" xr3:uid="{00000000-0010-0000-2200-000001000000}" name="SixFillings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V1:AV23" totalsRowShown="0">
  <autoFilter ref="AV1:AV23" xr:uid="{00000000-0009-0000-0100-000024000000}"/>
  <tableColumns count="1">
    <tableColumn id="1" xr3:uid="{00000000-0010-0000-2300-000001000000}" name="SevenFillings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W1:AW26" totalsRowShown="0">
  <autoFilter ref="AW1:AW26" xr:uid="{00000000-0009-0000-0100-000025000000}"/>
  <tableColumns count="1">
    <tableColumn id="1" xr3:uid="{00000000-0010-0000-2400-000001000000}" name="EightFillings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Z1:AZ3" totalsRowShown="0">
  <autoFilter ref="AZ1:AZ3" xr:uid="{00000000-0009-0000-0100-000026000000}"/>
  <tableColumns count="1">
    <tableColumn id="1" xr3:uid="{00000000-0010-0000-2500-000001000000}" name="OneRootCanal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BA1:BA4" totalsRowShown="0">
  <autoFilter ref="BA1:BA4" xr:uid="{00000000-0009-0000-0100-000027000000}"/>
  <tableColumns count="1">
    <tableColumn id="1" xr3:uid="{00000000-0010-0000-2600-000001000000}" name="TwoRootCanal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H1:H8" totalsRowShown="0">
  <autoFilter ref="H1:H8" xr:uid="{00000000-0009-0000-0100-000004000000}"/>
  <tableColumns count="1">
    <tableColumn id="1" xr3:uid="{00000000-0010-0000-0300-000001000000}" name="Three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BB1:BB5" totalsRowShown="0">
  <autoFilter ref="BB1:BB5" xr:uid="{00000000-0009-0000-0100-000028000000}"/>
  <tableColumns count="1">
    <tableColumn id="1" xr3:uid="{00000000-0010-0000-2700-000001000000}" name="ThreeRootCanal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41" displayName="Table41" ref="BC1:BC6" totalsRowShown="0">
  <autoFilter ref="BC1:BC6" xr:uid="{00000000-0009-0000-0100-000029000000}"/>
  <tableColumns count="1">
    <tableColumn id="1" xr3:uid="{00000000-0010-0000-2800-000001000000}" name="FourRootCanal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BD1:BD7" totalsRowShown="0">
  <autoFilter ref="BD1:BD7" xr:uid="{00000000-0009-0000-0100-00002A000000}"/>
  <tableColumns count="1">
    <tableColumn id="1" xr3:uid="{00000000-0010-0000-2900-000001000000}" name="FiveRootCanal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3" displayName="Table43" ref="BE1:BE8" totalsRowShown="0">
  <autoFilter ref="BE1:BE8" xr:uid="{00000000-0009-0000-0100-00002B000000}"/>
  <tableColumns count="1">
    <tableColumn id="1" xr3:uid="{00000000-0010-0000-2A00-000001000000}" name="SixRootCanal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4" displayName="Table44" ref="BF1:BF9" totalsRowShown="0">
  <autoFilter ref="BF1:BF9" xr:uid="{00000000-0009-0000-0100-00002C000000}"/>
  <tableColumns count="1">
    <tableColumn id="1" xr3:uid="{00000000-0010-0000-2B00-000001000000}" name="SevenRootCanal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5" displayName="Table45" ref="BG1:BG10" totalsRowShown="0">
  <autoFilter ref="BG1:BG10" xr:uid="{00000000-0009-0000-0100-00002D000000}"/>
  <tableColumns count="1">
    <tableColumn id="1" xr3:uid="{00000000-0010-0000-2C00-000001000000}" name="EightRootCanal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6" displayName="Table46" ref="I22:I28" totalsRowShown="0">
  <autoFilter ref="I22:I28" xr:uid="{00000000-0009-0000-0100-00002E000000}"/>
  <tableColumns count="1">
    <tableColumn id="1" xr3:uid="{00000000-0010-0000-2D00-000001000000}" name="Utilization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7" displayName="Table47" ref="O15:O18" totalsRowShown="0">
  <autoFilter ref="O15:O18" xr:uid="{00000000-0009-0000-0100-00002F000000}"/>
  <tableColumns count="1">
    <tableColumn id="1" xr3:uid="{00000000-0010-0000-2E00-000001000000}" name="Exam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8" displayName="Table48" ref="P15:P18" totalsRowShown="0">
  <autoFilter ref="P15:P18" xr:uid="{00000000-0009-0000-0100-000030000000}"/>
  <tableColumns count="1">
    <tableColumn id="1" xr3:uid="{00000000-0010-0000-2F00-000001000000}" name="Cleaning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49" displayName="Table49" ref="Q15:Q18" totalsRowShown="0">
  <autoFilter ref="Q15:Q18" xr:uid="{00000000-0009-0000-0100-000031000000}"/>
  <tableColumns count="1">
    <tableColumn id="1" xr3:uid="{00000000-0010-0000-3000-000001000000}" name="Xra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I1:I10" totalsRowShown="0">
  <autoFilter ref="I1:I10" xr:uid="{00000000-0009-0000-0100-000005000000}"/>
  <tableColumns count="1">
    <tableColumn id="1" xr3:uid="{00000000-0010-0000-0400-000001000000}" name="Four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0" displayName="Table50" ref="R15:R17" totalsRowShown="0">
  <autoFilter ref="R15:R17" xr:uid="{00000000-0009-0000-0100-000032000000}"/>
  <tableColumns count="1">
    <tableColumn id="1" xr3:uid="{00000000-0010-0000-3100-000001000000}" name="Fluoride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1" displayName="Table51" ref="S15:S19" totalsRowShown="0">
  <autoFilter ref="S15:S19" xr:uid="{00000000-0009-0000-0100-000033000000}"/>
  <tableColumns count="1">
    <tableColumn id="1" xr3:uid="{00000000-0010-0000-3200-000001000000}" name="Filling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2" displayName="Table52" ref="T15:T17" totalsRowShown="0">
  <autoFilter ref="T15:T17" xr:uid="{00000000-0009-0000-0100-000034000000}"/>
  <tableColumns count="1">
    <tableColumn id="1" xr3:uid="{00000000-0010-0000-3300-000001000000}" name="RootCanal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53" displayName="Table53" ref="U15:U26" totalsRowShown="0">
  <autoFilter ref="U15:U26" xr:uid="{00000000-0009-0000-0100-000035000000}"/>
  <tableColumns count="1">
    <tableColumn id="1" xr3:uid="{00000000-0010-0000-3400-000001000000}" name="Crown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54" displayName="Table54" ref="V15:V26" totalsRowShown="0">
  <autoFilter ref="V15:V26" xr:uid="{00000000-0009-0000-0100-000036000000}"/>
  <tableColumns count="1">
    <tableColumn id="1" xr3:uid="{00000000-0010-0000-3500-000001000000}" name="Implant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55" displayName="Table55" ref="W15:W17" totalsRowShown="0">
  <autoFilter ref="W15:W17" xr:uid="{00000000-0009-0000-0100-000037000000}"/>
  <tableColumns count="1">
    <tableColumn id="1" xr3:uid="{00000000-0010-0000-3600-000001000000}" name="Braces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J1:J12" totalsRowShown="0">
  <autoFilter ref="J1:J12" xr:uid="{00000000-0009-0000-0100-000006000000}"/>
  <tableColumns count="1">
    <tableColumn id="1" xr3:uid="{00000000-0010-0000-0500-000001000000}" name="Five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K1:K14" totalsRowShown="0">
  <autoFilter ref="K1:K14" xr:uid="{00000000-0009-0000-0100-000007000000}"/>
  <tableColumns count="1">
    <tableColumn id="1" xr3:uid="{00000000-0010-0000-0600-000001000000}" name="Six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L1:L16" totalsRowShown="0">
  <autoFilter ref="L1:L16" xr:uid="{00000000-0009-0000-0100-000009000000}"/>
  <tableColumns count="1">
    <tableColumn id="1" xr3:uid="{00000000-0010-0000-0700-000001000000}" name="Seven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M1:M18" totalsRowShown="0">
  <autoFilter ref="M1:M18" xr:uid="{00000000-0009-0000-0100-00000A000000}"/>
  <tableColumns count="1">
    <tableColumn id="1" xr3:uid="{00000000-0010-0000-0800-000001000000}" name="Eigh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7"/>
  <sheetViews>
    <sheetView showGridLines="0" tabSelected="1" zoomScaleNormal="100" workbookViewId="0">
      <selection activeCell="C23" sqref="C23"/>
    </sheetView>
  </sheetViews>
  <sheetFormatPr defaultRowHeight="15" x14ac:dyDescent="0.25"/>
  <cols>
    <col min="1" max="1" width="2.7109375" customWidth="1"/>
    <col min="2" max="2" width="48" bestFit="1" customWidth="1"/>
    <col min="3" max="10" width="20.7109375" customWidth="1"/>
    <col min="11" max="11" width="33.42578125" customWidth="1"/>
  </cols>
  <sheetData>
    <row r="1" spans="2:11" ht="30" x14ac:dyDescent="0.4">
      <c r="B1" s="135" t="s">
        <v>164</v>
      </c>
      <c r="C1" s="136"/>
      <c r="D1" s="136"/>
      <c r="E1" s="136"/>
      <c r="F1" s="136"/>
      <c r="G1" s="136"/>
      <c r="H1" s="136"/>
    </row>
    <row r="2" spans="2:11" x14ac:dyDescent="0.25">
      <c r="B2" s="158" t="s">
        <v>191</v>
      </c>
      <c r="C2" s="159"/>
      <c r="D2" s="159"/>
      <c r="E2" s="159"/>
      <c r="F2" s="159"/>
      <c r="G2" s="159"/>
      <c r="H2" s="159"/>
    </row>
    <row r="3" spans="2:11" ht="6" customHeight="1" x14ac:dyDescent="0.25">
      <c r="B3" s="72"/>
      <c r="C3" s="72"/>
      <c r="D3" s="72"/>
      <c r="E3" s="72"/>
      <c r="F3" s="72"/>
      <c r="G3" s="72"/>
      <c r="H3" s="72"/>
    </row>
    <row r="4" spans="2:11" ht="26.25" x14ac:dyDescent="0.4">
      <c r="B4" s="132" t="s">
        <v>58</v>
      </c>
      <c r="C4" s="132"/>
      <c r="D4" s="72"/>
      <c r="E4" s="72"/>
      <c r="F4" s="72"/>
      <c r="G4" s="72"/>
      <c r="H4" s="72"/>
    </row>
    <row r="5" spans="2:11" ht="6.75" customHeight="1" x14ac:dyDescent="0.25">
      <c r="B5" s="72"/>
      <c r="C5" s="72"/>
      <c r="D5" s="72"/>
      <c r="E5" s="72"/>
      <c r="F5" s="72"/>
      <c r="G5" s="72"/>
      <c r="H5" s="72"/>
    </row>
    <row r="6" spans="2:11" ht="18" x14ac:dyDescent="0.25">
      <c r="B6" s="105" t="s">
        <v>57</v>
      </c>
      <c r="C6" s="106"/>
      <c r="D6" s="72"/>
      <c r="E6" s="72"/>
      <c r="F6" s="72"/>
      <c r="G6" s="108"/>
      <c r="H6" s="72"/>
    </row>
    <row r="7" spans="2:11" x14ac:dyDescent="0.25">
      <c r="B7" s="107" t="s">
        <v>165</v>
      </c>
      <c r="C7" s="116" t="s">
        <v>52</v>
      </c>
      <c r="D7" s="72"/>
      <c r="E7" s="72"/>
      <c r="F7" s="109"/>
      <c r="G7" s="72"/>
      <c r="H7" s="72"/>
    </row>
    <row r="8" spans="2:11" x14ac:dyDescent="0.25">
      <c r="B8" s="75" t="s">
        <v>9</v>
      </c>
      <c r="C8" s="117" t="s">
        <v>16</v>
      </c>
      <c r="D8" s="72"/>
      <c r="F8" s="109"/>
      <c r="G8" s="72"/>
      <c r="H8" s="72"/>
    </row>
    <row r="9" spans="2:11" x14ac:dyDescent="0.25">
      <c r="B9" s="77" t="s">
        <v>18</v>
      </c>
      <c r="C9" s="118" t="s">
        <v>31</v>
      </c>
      <c r="D9" s="76" t="str">
        <f>IF(OR(AND(C8='References (Hide)'!$A$2,C9&lt;&gt;Table13[Single]), AND(C8='References (Hide)'!$A$3, C9 &lt;&gt;Table14[Two Person]), AND(C8='References (Hide)'!$A$4, OR(C9=Table13[Single],'Dental Modeler'!C9=Table14[Two Person]))), "INVALID - PLEASE UPDATE FIELD", "")</f>
        <v/>
      </c>
      <c r="F9" s="109"/>
      <c r="G9" s="72"/>
      <c r="H9" s="72"/>
    </row>
    <row r="10" spans="2:11" x14ac:dyDescent="0.25">
      <c r="D10" s="72"/>
      <c r="E10" s="72"/>
      <c r="F10" s="72"/>
      <c r="G10" s="72"/>
      <c r="H10" s="72"/>
    </row>
    <row r="11" spans="2:11" ht="10.15" customHeight="1" x14ac:dyDescent="0.25">
      <c r="B11" s="72"/>
      <c r="C11" s="78"/>
      <c r="D11" s="72"/>
      <c r="E11" s="72"/>
      <c r="F11" s="72"/>
      <c r="G11" s="72"/>
      <c r="H11" s="72"/>
    </row>
    <row r="12" spans="2:11" ht="18.399999999999999" customHeight="1" x14ac:dyDescent="0.25">
      <c r="B12" s="79" t="s">
        <v>178</v>
      </c>
      <c r="C12" s="119" t="s">
        <v>185</v>
      </c>
      <c r="D12" s="119" t="s">
        <v>184</v>
      </c>
      <c r="E12" s="119" t="s">
        <v>183</v>
      </c>
      <c r="F12" s="119" t="s">
        <v>182</v>
      </c>
      <c r="G12" s="119" t="s">
        <v>182</v>
      </c>
      <c r="H12" s="119" t="s">
        <v>181</v>
      </c>
      <c r="I12" s="119" t="s">
        <v>181</v>
      </c>
      <c r="J12" s="119" t="s">
        <v>181</v>
      </c>
    </row>
    <row r="13" spans="2:11" ht="18" x14ac:dyDescent="0.25">
      <c r="B13" s="86" t="s">
        <v>24</v>
      </c>
      <c r="C13" s="120" t="s">
        <v>93</v>
      </c>
      <c r="D13" s="121" t="s">
        <v>94</v>
      </c>
      <c r="E13" s="121" t="s">
        <v>95</v>
      </c>
      <c r="F13" s="121" t="s">
        <v>96</v>
      </c>
      <c r="G13" s="121" t="s">
        <v>97</v>
      </c>
      <c r="H13" s="121" t="s">
        <v>98</v>
      </c>
      <c r="I13" s="121" t="s">
        <v>99</v>
      </c>
      <c r="J13" s="121" t="s">
        <v>100</v>
      </c>
      <c r="K13" s="15"/>
    </row>
    <row r="14" spans="2:11" x14ac:dyDescent="0.25">
      <c r="B14" s="102" t="s">
        <v>0</v>
      </c>
      <c r="C14" s="100">
        <f t="shared" ref="C14:J21" si="0">HLOOKUP(C$12,Utilization_Amounts,ROW(C14)-ROW(C$12),FALSE)</f>
        <v>1</v>
      </c>
      <c r="D14" s="100">
        <f t="shared" si="0"/>
        <v>1</v>
      </c>
      <c r="E14" s="100">
        <f t="shared" si="0"/>
        <v>2</v>
      </c>
      <c r="F14" s="100">
        <f t="shared" si="0"/>
        <v>1</v>
      </c>
      <c r="G14" s="100">
        <f t="shared" si="0"/>
        <v>1</v>
      </c>
      <c r="H14" s="100">
        <f t="shared" si="0"/>
        <v>1</v>
      </c>
      <c r="I14" s="100">
        <f t="shared" si="0"/>
        <v>1</v>
      </c>
      <c r="J14" s="100">
        <f t="shared" si="0"/>
        <v>1</v>
      </c>
      <c r="K14" s="15"/>
    </row>
    <row r="15" spans="2:11" x14ac:dyDescent="0.25">
      <c r="B15" s="103" t="s">
        <v>1</v>
      </c>
      <c r="C15" s="100">
        <f t="shared" si="0"/>
        <v>2</v>
      </c>
      <c r="D15" s="100">
        <f t="shared" si="0"/>
        <v>2</v>
      </c>
      <c r="E15" s="100">
        <f t="shared" si="0"/>
        <v>2</v>
      </c>
      <c r="F15" s="100">
        <f t="shared" si="0"/>
        <v>2</v>
      </c>
      <c r="G15" s="100">
        <f t="shared" si="0"/>
        <v>2</v>
      </c>
      <c r="H15" s="100">
        <f t="shared" si="0"/>
        <v>2</v>
      </c>
      <c r="I15" s="100">
        <f t="shared" si="0"/>
        <v>2</v>
      </c>
      <c r="J15" s="100">
        <f t="shared" si="0"/>
        <v>2</v>
      </c>
      <c r="K15" s="15"/>
    </row>
    <row r="16" spans="2:11" x14ac:dyDescent="0.25">
      <c r="B16" s="103" t="s">
        <v>3</v>
      </c>
      <c r="C16" s="100">
        <f t="shared" si="0"/>
        <v>1</v>
      </c>
      <c r="D16" s="100">
        <f t="shared" si="0"/>
        <v>1</v>
      </c>
      <c r="E16" s="100">
        <f t="shared" si="0"/>
        <v>1</v>
      </c>
      <c r="F16" s="100">
        <f t="shared" si="0"/>
        <v>1</v>
      </c>
      <c r="G16" s="100">
        <f t="shared" si="0"/>
        <v>1</v>
      </c>
      <c r="H16" s="100">
        <f t="shared" si="0"/>
        <v>1</v>
      </c>
      <c r="I16" s="100">
        <f t="shared" si="0"/>
        <v>1</v>
      </c>
      <c r="J16" s="100">
        <f t="shared" si="0"/>
        <v>1</v>
      </c>
      <c r="K16" s="15"/>
    </row>
    <row r="17" spans="2:11" x14ac:dyDescent="0.25">
      <c r="B17" s="103" t="s">
        <v>2</v>
      </c>
      <c r="C17" s="100">
        <f t="shared" si="0"/>
        <v>0</v>
      </c>
      <c r="D17" s="100">
        <f t="shared" si="0"/>
        <v>0</v>
      </c>
      <c r="E17" s="100">
        <f t="shared" si="0"/>
        <v>1</v>
      </c>
      <c r="F17" s="100">
        <f t="shared" si="0"/>
        <v>1</v>
      </c>
      <c r="G17" s="100">
        <f t="shared" si="0"/>
        <v>1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5"/>
    </row>
    <row r="18" spans="2:11" x14ac:dyDescent="0.25">
      <c r="B18" s="103" t="s">
        <v>4</v>
      </c>
      <c r="C18" s="100">
        <f t="shared" si="0"/>
        <v>1</v>
      </c>
      <c r="D18" s="100">
        <f t="shared" si="0"/>
        <v>0</v>
      </c>
      <c r="E18" s="100">
        <f t="shared" si="0"/>
        <v>2</v>
      </c>
      <c r="F18" s="100">
        <f t="shared" si="0"/>
        <v>1</v>
      </c>
      <c r="G18" s="100">
        <f t="shared" si="0"/>
        <v>1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5"/>
    </row>
    <row r="19" spans="2:11" x14ac:dyDescent="0.25">
      <c r="B19" s="103" t="s">
        <v>6</v>
      </c>
      <c r="C19" s="100">
        <f t="shared" si="0"/>
        <v>0</v>
      </c>
      <c r="D19" s="100">
        <f t="shared" si="0"/>
        <v>0</v>
      </c>
      <c r="E19" s="100">
        <f t="shared" si="0"/>
        <v>0</v>
      </c>
      <c r="F19" s="100">
        <f t="shared" si="0"/>
        <v>0</v>
      </c>
      <c r="G19" s="100">
        <f t="shared" si="0"/>
        <v>0</v>
      </c>
      <c r="H19" s="100">
        <f t="shared" si="0"/>
        <v>0</v>
      </c>
      <c r="I19" s="100">
        <f t="shared" si="0"/>
        <v>0</v>
      </c>
      <c r="J19" s="100">
        <f t="shared" si="0"/>
        <v>0</v>
      </c>
      <c r="K19" s="15"/>
    </row>
    <row r="20" spans="2:11" x14ac:dyDescent="0.25">
      <c r="B20" s="103" t="s">
        <v>5</v>
      </c>
      <c r="C20" s="100">
        <f t="shared" si="0"/>
        <v>1</v>
      </c>
      <c r="D20" s="100">
        <f t="shared" si="0"/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  <c r="I20" s="100">
        <f t="shared" si="0"/>
        <v>0</v>
      </c>
      <c r="J20" s="100">
        <f t="shared" si="0"/>
        <v>0</v>
      </c>
      <c r="K20" s="15"/>
    </row>
    <row r="21" spans="2:11" x14ac:dyDescent="0.25">
      <c r="B21" s="104" t="s">
        <v>7</v>
      </c>
      <c r="C21" s="127">
        <f t="shared" si="0"/>
        <v>0</v>
      </c>
      <c r="D21" s="127">
        <f t="shared" si="0"/>
        <v>0</v>
      </c>
      <c r="E21" s="101">
        <f t="shared" si="0"/>
        <v>0</v>
      </c>
      <c r="F21" s="101">
        <f t="shared" si="0"/>
        <v>0</v>
      </c>
      <c r="G21" s="101">
        <f t="shared" si="0"/>
        <v>0</v>
      </c>
      <c r="H21" s="101">
        <f t="shared" si="0"/>
        <v>0</v>
      </c>
      <c r="I21" s="101">
        <f t="shared" si="0"/>
        <v>0</v>
      </c>
      <c r="J21" s="101">
        <f t="shared" si="0"/>
        <v>0</v>
      </c>
      <c r="K21" s="15"/>
    </row>
    <row r="22" spans="2:11" ht="6" customHeight="1" x14ac:dyDescent="0.25">
      <c r="B22" s="128"/>
      <c r="C22" s="129"/>
      <c r="D22" s="125"/>
      <c r="E22" s="125"/>
      <c r="F22" s="125"/>
      <c r="G22" s="125"/>
      <c r="H22" s="125"/>
      <c r="I22" s="125"/>
      <c r="J22" s="125"/>
      <c r="K22" s="15"/>
    </row>
    <row r="23" spans="2:11" ht="15" customHeight="1" x14ac:dyDescent="0.25">
      <c r="B23" s="126" t="s">
        <v>125</v>
      </c>
      <c r="C23" s="130" t="s">
        <v>190</v>
      </c>
      <c r="D23" s="131" t="s">
        <v>190</v>
      </c>
      <c r="E23" s="131" t="s">
        <v>189</v>
      </c>
      <c r="F23" s="131" t="s">
        <v>189</v>
      </c>
      <c r="G23" s="131" t="s">
        <v>190</v>
      </c>
      <c r="H23" s="131" t="s">
        <v>190</v>
      </c>
      <c r="I23" s="131" t="s">
        <v>190</v>
      </c>
      <c r="J23" s="131" t="s">
        <v>190</v>
      </c>
    </row>
    <row r="24" spans="2:11" ht="10.15" customHeight="1" x14ac:dyDescent="0.25">
      <c r="B24" s="72"/>
      <c r="C24" s="72"/>
      <c r="D24" s="72"/>
      <c r="E24" s="72"/>
      <c r="F24" s="72"/>
      <c r="G24" s="72"/>
      <c r="H24" s="72"/>
      <c r="J24" s="2"/>
    </row>
    <row r="25" spans="2:11" ht="26.25" x14ac:dyDescent="0.4">
      <c r="B25" s="132" t="s">
        <v>75</v>
      </c>
      <c r="C25" s="132"/>
      <c r="D25" s="132"/>
      <c r="E25" s="72"/>
      <c r="F25" s="72"/>
      <c r="G25" s="72"/>
      <c r="H25" s="72"/>
      <c r="I25" s="2"/>
      <c r="J25" s="2"/>
    </row>
    <row r="26" spans="2:11" ht="6" customHeight="1" x14ac:dyDescent="0.25">
      <c r="B26" s="72"/>
      <c r="C26" s="72"/>
      <c r="D26" s="72"/>
      <c r="E26" s="72"/>
      <c r="F26" s="72"/>
      <c r="G26" s="72"/>
      <c r="H26" s="80"/>
      <c r="I26" s="2"/>
    </row>
    <row r="27" spans="2:11" ht="18" x14ac:dyDescent="0.25">
      <c r="B27" s="73" t="s">
        <v>76</v>
      </c>
      <c r="C27" s="90" t="s">
        <v>77</v>
      </c>
      <c r="D27" s="74" t="s">
        <v>78</v>
      </c>
      <c r="E27" s="72"/>
      <c r="F27" s="72"/>
      <c r="G27" s="72"/>
      <c r="H27" s="80"/>
      <c r="I27" s="2"/>
      <c r="J27" s="14"/>
    </row>
    <row r="28" spans="2:11" x14ac:dyDescent="0.25">
      <c r="B28" s="81" t="s">
        <v>51</v>
      </c>
      <c r="C28" s="87">
        <f>INDEX('References (Hide)'!$B$13:$D$18,MATCH('Dental Modeler'!$C$27&amp;" "&amp;'Dental Modeler'!$C$8,'References (Hide)'!$A$13:$A$18,0), MATCH($C$7, 'References (Hide)'!$B$12:$D$12,0))*12</f>
        <v>0</v>
      </c>
      <c r="D28" s="82">
        <f>INDEX('References (Hide)'!$B$13:$D$18,MATCH('Dental Modeler'!$D$27&amp;" "&amp;'Dental Modeler'!$C$8,'References (Hide)'!$A$13:$A$18,0), MATCH($C$7, 'References (Hide)'!$B$12:$D$12,0))*12</f>
        <v>254.76</v>
      </c>
      <c r="E28" s="72"/>
      <c r="F28" s="72"/>
      <c r="G28" s="72"/>
      <c r="H28" s="80"/>
      <c r="I28" s="2"/>
      <c r="J28" s="14"/>
    </row>
    <row r="29" spans="2:11" ht="6" customHeight="1" x14ac:dyDescent="0.25">
      <c r="B29" s="83"/>
      <c r="C29" s="89"/>
      <c r="D29" s="84"/>
      <c r="E29" s="72"/>
      <c r="F29" s="72"/>
      <c r="G29" s="72"/>
      <c r="H29" s="80"/>
      <c r="I29" s="2"/>
    </row>
    <row r="30" spans="2:11" x14ac:dyDescent="0.25">
      <c r="B30" s="81" t="s">
        <v>86</v>
      </c>
      <c r="C30" s="88">
        <f>VLOOKUP('App1 (Calculations-Hide)'!$B$1,'App1 (Calculations-Hide)'!$C$31:$K$39,2,FALSE)</f>
        <v>1306</v>
      </c>
      <c r="D30" s="82">
        <f>VLOOKUP('App1 (Calculations-Hide)'!$B$1,'App1 (Calculations-Hide)'!$C$31:$K$39,4,FALSE)</f>
        <v>1306</v>
      </c>
      <c r="E30" s="72"/>
      <c r="F30" s="72"/>
      <c r="G30" s="72"/>
      <c r="H30" s="80"/>
      <c r="I30" s="2"/>
    </row>
    <row r="31" spans="2:11" x14ac:dyDescent="0.25">
      <c r="B31" s="81" t="s">
        <v>87</v>
      </c>
      <c r="C31" s="88">
        <f>VLOOKUP('App1 (Calculations-Hide)'!$B$1,'App1 (Calculations-Hide)'!$C$31:$K$39,6,FALSE)</f>
        <v>0</v>
      </c>
      <c r="D31" s="82">
        <f>VLOOKUP('App1 (Calculations-Hide)'!$B$1,'App1 (Calculations-Hide)'!$C$31:$K$39,8,FALSE)</f>
        <v>0</v>
      </c>
      <c r="E31" s="72"/>
      <c r="F31" s="72"/>
      <c r="G31" s="72"/>
      <c r="H31" s="80"/>
    </row>
    <row r="32" spans="2:11" ht="6" customHeight="1" x14ac:dyDescent="0.25">
      <c r="B32" s="81"/>
      <c r="C32" s="89"/>
      <c r="D32" s="84"/>
      <c r="E32" s="72"/>
      <c r="F32" s="72"/>
      <c r="G32" s="72"/>
      <c r="H32" s="72"/>
    </row>
    <row r="33" spans="2:8" x14ac:dyDescent="0.25">
      <c r="B33" s="81" t="s">
        <v>88</v>
      </c>
      <c r="C33" s="88">
        <f>VLOOKUP('App1 (Calculations-Hide)'!$B$1,'App1 (Calculations-Hide)'!$C$31:$K$39,3,FALSE)</f>
        <v>706</v>
      </c>
      <c r="D33" s="82">
        <f>VLOOKUP('App1 (Calculations-Hide)'!$B$1,'App1 (Calculations-Hide)'!$C$31:$K$39,5,FALSE)</f>
        <v>330.60000000000014</v>
      </c>
      <c r="E33" s="72"/>
      <c r="F33" s="72"/>
      <c r="G33" s="72"/>
      <c r="H33" s="72"/>
    </row>
    <row r="34" spans="2:8" x14ac:dyDescent="0.25">
      <c r="B34" s="81" t="s">
        <v>56</v>
      </c>
      <c r="C34" s="88">
        <f>VLOOKUP('App1 (Calculations-Hide)'!$B$1,'App1 (Calculations-Hide)'!$C$31:$K$39,7,FALSE)</f>
        <v>0</v>
      </c>
      <c r="D34" s="82">
        <f>VLOOKUP('App1 (Calculations-Hide)'!$B$1,'App1 (Calculations-Hide)'!$C$31:$K$39,9,FALSE)</f>
        <v>0</v>
      </c>
      <c r="E34" s="72"/>
      <c r="F34" s="72"/>
      <c r="G34" s="72"/>
      <c r="H34" s="72"/>
    </row>
    <row r="35" spans="2:8" ht="6" customHeight="1" x14ac:dyDescent="0.25">
      <c r="B35" s="81"/>
      <c r="C35" s="89"/>
      <c r="D35" s="84"/>
      <c r="E35" s="72"/>
      <c r="F35" s="72"/>
      <c r="G35" s="72"/>
      <c r="H35" s="72"/>
    </row>
    <row r="36" spans="2:8" x14ac:dyDescent="0.25">
      <c r="B36" s="81" t="s">
        <v>85</v>
      </c>
      <c r="C36" s="89">
        <f>SUM(C28,C33:C34)</f>
        <v>706</v>
      </c>
      <c r="D36" s="84">
        <f>SUM(D28,D33:D34)</f>
        <v>585.36000000000013</v>
      </c>
      <c r="E36" s="72"/>
      <c r="F36" s="72"/>
      <c r="G36" s="72"/>
      <c r="H36" s="72"/>
    </row>
    <row r="37" spans="2:8" ht="18" x14ac:dyDescent="0.25">
      <c r="B37" s="85" t="s">
        <v>166</v>
      </c>
      <c r="C37" s="133" t="str">
        <f>IF($C$36&lt;$D$36, "Basic DPO", "Premium DPO")</f>
        <v>Premium DPO</v>
      </c>
      <c r="D37" s="134"/>
      <c r="E37" s="72"/>
      <c r="F37" s="72"/>
      <c r="G37" s="72"/>
      <c r="H37" s="72"/>
    </row>
  </sheetData>
  <sheetProtection algorithmName="SHA-512" hashValue="QCrtcVGWXLrQVX9vMcWT+GJwndqeOAsdMdyto26DAgzXzd+VcmRtUBHCTvxo3IOPwAASwVaOZ08EGhecUI+J2A==" saltValue="m+75sYvx4BkxKFdFsnpp5Q==" spinCount="100000" sheet="1" objects="1" scenarios="1" selectLockedCells="1"/>
  <mergeCells count="5">
    <mergeCell ref="B4:C4"/>
    <mergeCell ref="B25:D25"/>
    <mergeCell ref="C37:D37"/>
    <mergeCell ref="B1:H1"/>
    <mergeCell ref="B2:H2"/>
  </mergeCells>
  <conditionalFormatting sqref="C9">
    <cfRule type="expression" dxfId="27" priority="43">
      <formula>IF($D$9&lt;&gt;"",TRUE,FALSE)</formula>
    </cfRule>
  </conditionalFormatting>
  <conditionalFormatting sqref="F14:J19 C20:J20 F21:J21 C23:J23">
    <cfRule type="expression" dxfId="26" priority="35">
      <formula>H12="ERROR - PLEASE UPDATE FIELD"</formula>
    </cfRule>
  </conditionalFormatting>
  <conditionalFormatting sqref="C14:E21">
    <cfRule type="expression" dxfId="25" priority="90">
      <formula>H13="ERROR - PLEASE UPDATE FIELD"</formula>
    </cfRule>
  </conditionalFormatting>
  <conditionalFormatting sqref="F19:J19">
    <cfRule type="expression" dxfId="24" priority="92">
      <formula>K17="ERROR - PLEASE UPDATE FIELD"</formula>
    </cfRule>
  </conditionalFormatting>
  <conditionalFormatting sqref="F20:J20 F23:J23">
    <cfRule type="expression" dxfId="23" priority="101">
      <formula>K17="ERROR - PLEASE UPDATE FIELD"</formula>
    </cfRule>
  </conditionalFormatting>
  <dataValidations count="3">
    <dataValidation type="list" allowBlank="1" showInputMessage="1" showErrorMessage="1" sqref="C8" xr:uid="{00000000-0002-0000-0000-000000000000}">
      <formula1>Tier</formula1>
    </dataValidation>
    <dataValidation type="list" allowBlank="1" showInputMessage="1" showErrorMessage="1" sqref="C9" xr:uid="{00000000-0002-0000-0000-000001000000}">
      <formula1>INDIRECT($C$8)</formula1>
    </dataValidation>
    <dataValidation type="list" allowBlank="1" showInputMessage="1" showErrorMessage="1" sqref="D12" xr:uid="{00000000-0002-0000-0000-000002000000}">
      <formula1>Utilization</formula1>
    </dataValidation>
  </dataValidations>
  <pageMargins left="0.7" right="0.7" top="0.75" bottom="0.75" header="0.3" footer="0.3"/>
  <pageSetup scale="5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8BBF1546-DFDC-4686-8DBD-B5E2E09D591C}">
            <xm:f>$C$9='References (Hide)'!$Q$2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</border>
            </x14:dxf>
          </x14:cfRule>
          <xm:sqref>D13:J21 D23:J23</xm:sqref>
        </x14:conditionalFormatting>
        <x14:conditionalFormatting xmlns:xm="http://schemas.microsoft.com/office/excel/2006/main">
          <x14:cfRule type="expression" priority="30" id="{11D4470E-C9F6-4CE3-B4A4-12904FE3ABC2}">
            <xm:f>$C$9='References (Hide)'!$S$2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14:cfRule type="expression" priority="32" id="{F44CA687-B95C-4A07-B100-A3EDD5ECA041}">
            <xm:f>$C$9='References (Hide)'!$Q$2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E13:J21 E23:J23</xm:sqref>
        </x14:conditionalFormatting>
        <x14:conditionalFormatting xmlns:xm="http://schemas.microsoft.com/office/excel/2006/main">
          <x14:cfRule type="expression" priority="12" id="{FDFFF81D-24FE-402A-9CBC-1611FC83CD4A}">
            <xm:f>$C$9='References (Hide)'!$S$2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8" id="{821B45F9-3CE1-4211-AA3B-895217B2740C}">
            <xm:f>$C$9='References (Hide)'!$B$2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F13:J21 F23:J23</xm:sqref>
        </x14:conditionalFormatting>
        <x14:conditionalFormatting xmlns:xm="http://schemas.microsoft.com/office/excel/2006/main">
          <x14:cfRule type="expression" priority="19" id="{4AC9844E-D873-498A-A964-8D7CF3D45860}">
            <xm:f>$C$9='References (Hide)'!$B$2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7" id="{D6BEF0DF-D82E-4D14-B30E-499E4E27EE46}">
            <xm:f>$C$9='References (Hide)'!$B$3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G13:J21 G23:J23</xm:sqref>
        </x14:conditionalFormatting>
        <x14:conditionalFormatting xmlns:xm="http://schemas.microsoft.com/office/excel/2006/main">
          <x14:cfRule type="expression" priority="24" id="{F41AE681-6025-4340-AA57-32E651920124}">
            <xm:f>$C$9='References (Hide)'!$B$4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14:cfRule type="expression" priority="26" id="{E6EE56FA-F3FE-4AE0-B6FB-49BFEC32F891}">
            <xm:f>$C$9='References (Hide)'!$B$3:$C$3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H13:J21 H23:J23</xm:sqref>
        </x14:conditionalFormatting>
        <x14:conditionalFormatting xmlns:xm="http://schemas.microsoft.com/office/excel/2006/main">
          <x14:cfRule type="expression" priority="20" id="{4A3AC8A5-1A56-469A-9049-CEE96B4026EB}">
            <xm:f>$C$9='References (Hide)'!$B$4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3" id="{DF869ABE-83F6-4478-B611-B794092FEF67}">
            <xm:f>$C$9='References (Hide)'!$B$5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m:sqref>I13:J21 I23:J23</xm:sqref>
        </x14:conditionalFormatting>
        <x14:conditionalFormatting xmlns:xm="http://schemas.microsoft.com/office/excel/2006/main">
          <x14:cfRule type="expression" priority="21" id="{B6650D44-E02B-44D9-86C0-A44D6634FAE5}">
            <xm:f>$C$9='References (Hide)'!$B$6</xm:f>
            <x14:dxf>
              <numFmt numFmtId="167" formatCode=";;;"/>
              <fill>
                <patternFill patternType="none">
                  <bgColor auto="1"/>
                </patternFill>
              </fill>
              <border>
                <left style="thin">
                  <color auto="1"/>
                </left>
                <right/>
                <top/>
                <bottom/>
                <vertical/>
                <horizontal/>
              </border>
            </x14:dxf>
          </x14:cfRule>
          <x14:cfRule type="expression" priority="22" id="{ACF7D0A5-D9EA-41AC-812E-495B4CE5F7FD}">
            <xm:f>$C$9='References (Hide)'!$B$5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J13:J21 J23</xm:sqref>
        </x14:conditionalFormatting>
        <x14:conditionalFormatting xmlns:xm="http://schemas.microsoft.com/office/excel/2006/main">
          <x14:cfRule type="expression" priority="55" id="{BDFEBDC3-FF1B-4AB4-A4AB-7765789349AB}">
            <xm:f>'References (Hide)'!B20="INVALID - PLEASE UPDATE FIELD"</xm:f>
            <x14:dxf>
              <fill>
                <patternFill>
                  <bgColor rgb="FFFF0000"/>
                </patternFill>
              </fill>
            </x14:dxf>
          </x14:cfRule>
          <xm:sqref>C12:J12 C14:J21</xm:sqref>
        </x14:conditionalFormatting>
        <x14:conditionalFormatting xmlns:xm="http://schemas.microsoft.com/office/excel/2006/main">
          <x14:cfRule type="expression" priority="7" id="{08C024F6-1222-4E98-B0D6-2A1A235D2FAE}">
            <xm:f>$C$9='References (Hide)'!$Q$2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D12:J12</xm:sqref>
        </x14:conditionalFormatting>
        <x14:conditionalFormatting xmlns:xm="http://schemas.microsoft.com/office/excel/2006/main">
          <x14:cfRule type="expression" priority="6" id="{2C038109-5FE6-4FF6-9269-7E44D08A8EB3}">
            <xm:f>$C$9='References (Hide)'!$S$2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E12:J12</xm:sqref>
        </x14:conditionalFormatting>
        <x14:conditionalFormatting xmlns:xm="http://schemas.microsoft.com/office/excel/2006/main">
          <x14:cfRule type="expression" priority="5" id="{D54F630F-82E0-4241-B1E3-1A78480F0957}">
            <xm:f>$C$9='References (Hide)'!$B$2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F12:J12</xm:sqref>
        </x14:conditionalFormatting>
        <x14:conditionalFormatting xmlns:xm="http://schemas.microsoft.com/office/excel/2006/main">
          <x14:cfRule type="expression" priority="4" id="{FD36A869-9590-40DD-B70E-66FBA8135477}">
            <xm:f>$C$9='References (Hide)'!$B$3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G12:J12</xm:sqref>
        </x14:conditionalFormatting>
        <x14:conditionalFormatting xmlns:xm="http://schemas.microsoft.com/office/excel/2006/main">
          <x14:cfRule type="expression" priority="3" id="{E497B6D2-0B05-40AA-A957-0459A3A0E46F}">
            <xm:f>$C$9='References (Hide)'!$B$4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H12:J12</xm:sqref>
        </x14:conditionalFormatting>
        <x14:conditionalFormatting xmlns:xm="http://schemas.microsoft.com/office/excel/2006/main">
          <x14:cfRule type="expression" priority="2" id="{347368E2-F5E1-445D-9342-BB2E0BCCDDCF}">
            <xm:f>$C$9='References (Hide)'!$B$5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I12:J12</xm:sqref>
        </x14:conditionalFormatting>
        <x14:conditionalFormatting xmlns:xm="http://schemas.microsoft.com/office/excel/2006/main">
          <x14:cfRule type="expression" priority="1" id="{3A9D7960-0D9B-4A55-9BB9-2FFED27396B3}">
            <xm:f>$C$9='References (Hide)'!$B$6</xm:f>
            <x14:dxf>
              <numFmt numFmtId="167" formatCode=";;;"/>
              <fill>
                <patternFill patternType="none">
                  <bgColor auto="1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expression" priority="108" id="{BDFEBDC3-FF1B-4AB4-A4AB-7765789349AB}">
            <xm:f>'References (Hide)'!B30="INVALID - PLEASE UPDATE FIELD"</xm:f>
            <x14:dxf>
              <fill>
                <patternFill>
                  <bgColor rgb="FFFF0000"/>
                </patternFill>
              </fill>
            </x14:dxf>
          </x14:cfRule>
          <xm:sqref>C23:J23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3000000}">
          <x14:formula1>
            <xm:f>'References (Hide)'!$D$2:$D$4</xm:f>
          </x14:formula1>
          <xm:sqref>C7</xm:sqref>
        </x14:dataValidation>
        <x14:dataValidation type="list" allowBlank="1" showInputMessage="1" showErrorMessage="1" xr:uid="{00000000-0002-0000-0000-000004000000}">
          <x14:formula1>
            <xm:f>'References (Hide)'!$Q$16:$Q$18</xm:f>
          </x14:formula1>
          <xm:sqref>C16:J16</xm:sqref>
        </x14:dataValidation>
        <x14:dataValidation type="list" allowBlank="1" showInputMessage="1" showErrorMessage="1" xr:uid="{00000000-0002-0000-0000-000005000000}">
          <x14:formula1>
            <xm:f>'References (Hide)'!$K$23:$K$24</xm:f>
          </x14:formula1>
          <xm:sqref>C23:J23</xm:sqref>
        </x14:dataValidation>
        <x14:dataValidation type="list" allowBlank="1" showInputMessage="1" showErrorMessage="1" xr:uid="{00000000-0002-0000-0000-000006000000}">
          <x14:formula1>
            <xm:f>'References (Hide)'!$V$16:$V$26</xm:f>
          </x14:formula1>
          <xm:sqref>C21:J22</xm:sqref>
        </x14:dataValidation>
        <x14:dataValidation type="list" allowBlank="1" showInputMessage="1" showErrorMessage="1" xr:uid="{00000000-0002-0000-0000-000007000000}">
          <x14:formula1>
            <xm:f>'References (Hide)'!$R$16:$R$17</xm:f>
          </x14:formula1>
          <xm:sqref>C17:J17</xm:sqref>
        </x14:dataValidation>
        <x14:dataValidation type="list" allowBlank="1" showInputMessage="1" showErrorMessage="1" xr:uid="{00000000-0002-0000-0000-000008000000}">
          <x14:formula1>
            <xm:f>'References (Hide)'!$S$16:$S$19</xm:f>
          </x14:formula1>
          <xm:sqref>C18:J20</xm:sqref>
        </x14:dataValidation>
        <x14:dataValidation type="list" allowBlank="1" showInputMessage="1" showErrorMessage="1" xr:uid="{00000000-0002-0000-0000-000009000000}">
          <x14:formula1>
            <xm:f>'References (Hide)'!$T$16:$T$17</xm:f>
          </x14:formula1>
          <xm:sqref>C19:J19</xm:sqref>
        </x14:dataValidation>
        <x14:dataValidation type="list" allowBlank="1" showInputMessage="1" showErrorMessage="1" xr:uid="{00000000-0002-0000-0000-00000A000000}">
          <x14:formula1>
            <xm:f>'References (Hide)'!$O$16:$O$18</xm:f>
          </x14:formula1>
          <xm:sqref>C14:J14</xm:sqref>
        </x14:dataValidation>
        <x14:dataValidation type="list" allowBlank="1" showInputMessage="1" showErrorMessage="1" xr:uid="{00000000-0002-0000-0000-00000B000000}">
          <x14:formula1>
            <xm:f>'References (Hide)'!$P$16:$P$18</xm:f>
          </x14:formula1>
          <xm:sqref>C15:J15</xm:sqref>
        </x14:dataValidation>
        <x14:dataValidation type="list" allowBlank="1" showInputMessage="1" showErrorMessage="1" xr:uid="{00000000-0002-0000-0000-00000C000000}">
          <x14:formula1>
            <xm:f>'References (Hide)'!$U$16:$U$26</xm:f>
          </x14:formula1>
          <xm:sqref>C20:J20</xm:sqref>
        </x14:dataValidation>
        <x14:dataValidation type="list" allowBlank="1" showInputMessage="1" showErrorMessage="1" xr:uid="{ABAE950A-D5AB-40EB-9F1D-ABF2F3E1249D}">
          <x14:formula1>
            <xm:f>'References (Hide)'!$I$32:$I$34</xm:f>
          </x14:formula1>
          <xm:sqref>C12</xm:sqref>
        </x14:dataValidation>
        <x14:dataValidation type="list" allowBlank="1" showInputMessage="1" showErrorMessage="1" xr:uid="{09653226-31EE-40AD-B823-5DCCF5B3DE17}">
          <x14:formula1>
            <xm:f>'References (Hide)'!$I$38:$I$40</xm:f>
          </x14:formula1>
          <xm:sqref>E12:J12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I39"/>
  <sheetViews>
    <sheetView workbookViewId="0">
      <selection activeCell="B1" sqref="B1:H1"/>
    </sheetView>
  </sheetViews>
  <sheetFormatPr defaultRowHeight="15" x14ac:dyDescent="0.25"/>
  <cols>
    <col min="1" max="1" width="34.140625" bestFit="1" customWidth="1"/>
    <col min="2" max="2" width="15.7109375" customWidth="1"/>
    <col min="3" max="3" width="12.7109375" customWidth="1"/>
    <col min="4" max="4" width="10.7109375" customWidth="1"/>
    <col min="5" max="5" width="12.7109375" customWidth="1"/>
    <col min="6" max="6" width="22.7109375" customWidth="1"/>
    <col min="7" max="7" width="12.7109375" customWidth="1"/>
    <col min="8" max="8" width="10.7109375" customWidth="1"/>
    <col min="9" max="9" width="12.7109375" customWidth="1"/>
    <col min="10" max="10" width="22.7109375" customWidth="1"/>
    <col min="11" max="11" width="13.7109375" bestFit="1" customWidth="1"/>
    <col min="12" max="12" width="23.7109375" bestFit="1" customWidth="1"/>
    <col min="13" max="13" width="15.7109375" customWidth="1"/>
    <col min="14" max="14" width="12.7109375" customWidth="1"/>
    <col min="15" max="15" width="10.7109375" customWidth="1"/>
    <col min="16" max="16" width="12.7109375" customWidth="1"/>
    <col min="17" max="17" width="22.7109375" customWidth="1"/>
    <col min="18" max="18" width="12.7109375" customWidth="1"/>
    <col min="19" max="19" width="10.7109375" customWidth="1"/>
    <col min="20" max="20" width="12.7109375" customWidth="1"/>
    <col min="21" max="21" width="22.7109375" customWidth="1"/>
    <col min="23" max="23" width="32.28515625" bestFit="1" customWidth="1"/>
    <col min="24" max="24" width="15.7109375" customWidth="1"/>
    <col min="25" max="25" width="12.7109375" customWidth="1"/>
    <col min="26" max="26" width="10.7109375" customWidth="1"/>
    <col min="27" max="27" width="12.7109375" customWidth="1"/>
    <col min="28" max="28" width="22.7109375" customWidth="1"/>
    <col min="29" max="29" width="12.7109375" customWidth="1"/>
    <col min="30" max="30" width="10.7109375" customWidth="1"/>
    <col min="31" max="31" width="12.7109375" customWidth="1"/>
    <col min="32" max="32" width="22.7109375" customWidth="1"/>
    <col min="34" max="34" width="32.28515625" bestFit="1" customWidth="1"/>
    <col min="35" max="35" width="15.7109375" customWidth="1"/>
    <col min="36" max="36" width="12.7109375" customWidth="1"/>
    <col min="37" max="37" width="10.7109375" customWidth="1"/>
    <col min="38" max="38" width="12.7109375" customWidth="1"/>
    <col min="39" max="39" width="22.7109375" customWidth="1"/>
    <col min="40" max="40" width="12.7109375" customWidth="1"/>
    <col min="41" max="41" width="10.7109375" customWidth="1"/>
    <col min="42" max="42" width="12.7109375" customWidth="1"/>
    <col min="43" max="43" width="22.7109375" customWidth="1"/>
    <col min="45" max="45" width="32.28515625" bestFit="1" customWidth="1"/>
    <col min="46" max="46" width="15.7109375" customWidth="1"/>
    <col min="47" max="47" width="12.7109375" customWidth="1"/>
    <col min="48" max="48" width="10.7109375" customWidth="1"/>
    <col min="49" max="49" width="12.7109375" customWidth="1"/>
    <col min="50" max="50" width="22.7109375" customWidth="1"/>
    <col min="51" max="51" width="12.7109375" customWidth="1"/>
    <col min="52" max="52" width="10.7109375" customWidth="1"/>
    <col min="53" max="53" width="12.7109375" customWidth="1"/>
    <col min="54" max="54" width="22.7109375" customWidth="1"/>
    <col min="56" max="56" width="32.28515625" bestFit="1" customWidth="1"/>
    <col min="57" max="57" width="15.7109375" customWidth="1"/>
    <col min="58" max="58" width="12.7109375" customWidth="1"/>
    <col min="59" max="59" width="10.7109375" customWidth="1"/>
    <col min="60" max="60" width="12.7109375" customWidth="1"/>
    <col min="61" max="61" width="22.7109375" customWidth="1"/>
    <col min="62" max="62" width="12.7109375" customWidth="1"/>
    <col min="63" max="63" width="10.7109375" customWidth="1"/>
    <col min="64" max="64" width="12.7109375" customWidth="1"/>
    <col min="65" max="65" width="22.7109375" customWidth="1"/>
    <col min="67" max="67" width="32.28515625" bestFit="1" customWidth="1"/>
    <col min="68" max="68" width="15.7109375" customWidth="1"/>
    <col min="69" max="69" width="12.7109375" customWidth="1"/>
    <col min="70" max="70" width="10.7109375" customWidth="1"/>
    <col min="71" max="71" width="12.7109375" customWidth="1"/>
    <col min="72" max="72" width="22.7109375" customWidth="1"/>
    <col min="73" max="73" width="12.7109375" customWidth="1"/>
    <col min="74" max="74" width="10.7109375" customWidth="1"/>
    <col min="75" max="75" width="12.7109375" customWidth="1"/>
    <col min="76" max="76" width="22.7109375" customWidth="1"/>
    <col min="78" max="78" width="32.28515625" bestFit="1" customWidth="1"/>
    <col min="79" max="79" width="15.7109375" customWidth="1"/>
    <col min="80" max="80" width="12.7109375" customWidth="1"/>
    <col min="81" max="81" width="10.7109375" customWidth="1"/>
    <col min="82" max="82" width="12.7109375" customWidth="1"/>
    <col min="83" max="83" width="22.7109375" customWidth="1"/>
    <col min="84" max="84" width="12.7109375" customWidth="1"/>
    <col min="85" max="85" width="10.7109375" customWidth="1"/>
    <col min="86" max="86" width="12.7109375" customWidth="1"/>
    <col min="87" max="87" width="22.7109375" customWidth="1"/>
  </cols>
  <sheetData>
    <row r="1" spans="1:87" x14ac:dyDescent="0.25">
      <c r="A1" s="35" t="s">
        <v>18</v>
      </c>
      <c r="B1" s="34">
        <f>VLOOKUP('Dental Modeler'!$C$9,'References (Hide)'!$O$2:$P$9, 2, FALSE)</f>
        <v>1</v>
      </c>
      <c r="I1" s="4"/>
      <c r="J1" s="4"/>
    </row>
    <row r="3" spans="1:87" x14ac:dyDescent="0.25">
      <c r="B3" t="b">
        <f>OR(B4="Low - Adult",B4="Average - Adult",B4="High - Adult")</f>
        <v>0</v>
      </c>
      <c r="C3" s="140" t="s">
        <v>171</v>
      </c>
      <c r="D3" s="141"/>
      <c r="E3" s="141"/>
      <c r="F3" s="141"/>
      <c r="G3" s="141"/>
      <c r="H3" s="141"/>
      <c r="I3" s="141"/>
      <c r="J3" s="142"/>
      <c r="M3" t="b">
        <f>OR(M4="Low - Adult",M4="Average - Adult",M4="High - Adult")</f>
        <v>0</v>
      </c>
      <c r="N3" s="140" t="s">
        <v>171</v>
      </c>
      <c r="O3" s="141"/>
      <c r="P3" s="141"/>
      <c r="Q3" s="141"/>
      <c r="R3" s="141"/>
      <c r="S3" s="141"/>
      <c r="T3" s="141"/>
      <c r="U3" s="142"/>
      <c r="X3" t="b">
        <f>OR(X4="Low - Adult",X4="Average - Adult",X4="High - Adult")</f>
        <v>0</v>
      </c>
      <c r="Y3" s="140" t="s">
        <v>171</v>
      </c>
      <c r="Z3" s="141"/>
      <c r="AA3" s="141"/>
      <c r="AB3" s="141"/>
      <c r="AC3" s="141"/>
      <c r="AD3" s="141"/>
      <c r="AE3" s="141"/>
      <c r="AF3" s="142"/>
      <c r="AI3" t="b">
        <f>OR(AI4="Low - Adult",AI4="Average - Adult",AI4="High - Adult")</f>
        <v>0</v>
      </c>
      <c r="AJ3" s="140" t="s">
        <v>171</v>
      </c>
      <c r="AK3" s="141"/>
      <c r="AL3" s="141"/>
      <c r="AM3" s="141"/>
      <c r="AN3" s="141"/>
      <c r="AO3" s="141"/>
      <c r="AP3" s="141"/>
      <c r="AQ3" s="142"/>
      <c r="AT3" t="b">
        <f>OR(AT4="Low - Adult",AT4="Average - Adult",AT4="High - Adult")</f>
        <v>0</v>
      </c>
      <c r="AU3" s="140" t="s">
        <v>171</v>
      </c>
      <c r="AV3" s="141"/>
      <c r="AW3" s="141"/>
      <c r="AX3" s="141"/>
      <c r="AY3" s="141"/>
      <c r="AZ3" s="141"/>
      <c r="BA3" s="141"/>
      <c r="BB3" s="142"/>
      <c r="BE3" t="b">
        <f>OR(BE4="Low - Adult",BE4="Average - Adult",BE4="High - Adult")</f>
        <v>0</v>
      </c>
      <c r="BF3" s="140" t="s">
        <v>171</v>
      </c>
      <c r="BG3" s="141"/>
      <c r="BH3" s="141"/>
      <c r="BI3" s="141"/>
      <c r="BJ3" s="141"/>
      <c r="BK3" s="141"/>
      <c r="BL3" s="141"/>
      <c r="BM3" s="142"/>
      <c r="BP3" t="b">
        <f>OR(BP4="Low - Adult",BP4="Average - Adult",BP4="High - Adult")</f>
        <v>0</v>
      </c>
      <c r="BQ3" s="140" t="s">
        <v>171</v>
      </c>
      <c r="BR3" s="141"/>
      <c r="BS3" s="141"/>
      <c r="BT3" s="141"/>
      <c r="BU3" s="141"/>
      <c r="BV3" s="141"/>
      <c r="BW3" s="141"/>
      <c r="BX3" s="142"/>
      <c r="CA3" t="b">
        <f>OR(CA4="Low - Adult",CA4="Average - Adult",CA4="High - Adult")</f>
        <v>0</v>
      </c>
      <c r="CB3" s="140" t="s">
        <v>171</v>
      </c>
      <c r="CC3" s="141"/>
      <c r="CD3" s="141"/>
      <c r="CE3" s="141"/>
      <c r="CF3" s="141"/>
      <c r="CG3" s="141"/>
      <c r="CH3" s="141"/>
      <c r="CI3" s="142"/>
    </row>
    <row r="4" spans="1:87" x14ac:dyDescent="0.25">
      <c r="B4" s="115" t="str">
        <f>'Dental Modeler'!C12</f>
        <v>Adult - Average</v>
      </c>
      <c r="C4" s="143" t="s">
        <v>15</v>
      </c>
      <c r="D4" s="144"/>
      <c r="E4" s="144"/>
      <c r="F4" s="145"/>
      <c r="G4" s="143" t="s">
        <v>55</v>
      </c>
      <c r="H4" s="144"/>
      <c r="I4" s="144"/>
      <c r="J4" s="145"/>
      <c r="M4" s="115" t="str">
        <f>'Dental Modeler'!D12</f>
        <v>Adult - Low</v>
      </c>
      <c r="N4" s="143" t="s">
        <v>15</v>
      </c>
      <c r="O4" s="144"/>
      <c r="P4" s="144"/>
      <c r="Q4" s="145"/>
      <c r="R4" s="143" t="s">
        <v>55</v>
      </c>
      <c r="S4" s="144"/>
      <c r="T4" s="144"/>
      <c r="U4" s="145"/>
      <c r="X4" s="115" t="str">
        <f>'Dental Modeler'!E12</f>
        <v>Child - High</v>
      </c>
      <c r="Y4" s="143" t="s">
        <v>15</v>
      </c>
      <c r="Z4" s="144"/>
      <c r="AA4" s="144"/>
      <c r="AB4" s="145"/>
      <c r="AC4" s="143" t="s">
        <v>55</v>
      </c>
      <c r="AD4" s="144"/>
      <c r="AE4" s="144"/>
      <c r="AF4" s="145"/>
      <c r="AI4" s="115" t="str">
        <f>'Dental Modeler'!F12</f>
        <v>Child - Average</v>
      </c>
      <c r="AJ4" s="143" t="s">
        <v>15</v>
      </c>
      <c r="AK4" s="144"/>
      <c r="AL4" s="144"/>
      <c r="AM4" s="145"/>
      <c r="AN4" s="143" t="s">
        <v>55</v>
      </c>
      <c r="AO4" s="144"/>
      <c r="AP4" s="144"/>
      <c r="AQ4" s="145"/>
      <c r="AT4" s="115" t="str">
        <f>'Dental Modeler'!G12</f>
        <v>Child - Average</v>
      </c>
      <c r="AU4" s="143" t="s">
        <v>15</v>
      </c>
      <c r="AV4" s="144"/>
      <c r="AW4" s="144"/>
      <c r="AX4" s="145"/>
      <c r="AY4" s="143" t="s">
        <v>55</v>
      </c>
      <c r="AZ4" s="144"/>
      <c r="BA4" s="144"/>
      <c r="BB4" s="145"/>
      <c r="BE4" s="115" t="str">
        <f>'Dental Modeler'!H12</f>
        <v>Child - Low</v>
      </c>
      <c r="BF4" s="143" t="s">
        <v>15</v>
      </c>
      <c r="BG4" s="144"/>
      <c r="BH4" s="144"/>
      <c r="BI4" s="145"/>
      <c r="BJ4" s="143" t="s">
        <v>55</v>
      </c>
      <c r="BK4" s="144"/>
      <c r="BL4" s="144"/>
      <c r="BM4" s="145"/>
      <c r="BP4" s="115" t="str">
        <f>'Dental Modeler'!I12</f>
        <v>Child - Low</v>
      </c>
      <c r="BQ4" s="143" t="s">
        <v>15</v>
      </c>
      <c r="BR4" s="144"/>
      <c r="BS4" s="144"/>
      <c r="BT4" s="145"/>
      <c r="BU4" s="143" t="s">
        <v>55</v>
      </c>
      <c r="BV4" s="144"/>
      <c r="BW4" s="144"/>
      <c r="BX4" s="145"/>
      <c r="CA4" s="115" t="str">
        <f>'Dental Modeler'!J12</f>
        <v>Child - Low</v>
      </c>
      <c r="CB4" s="143" t="s">
        <v>15</v>
      </c>
      <c r="CC4" s="144"/>
      <c r="CD4" s="144"/>
      <c r="CE4" s="145"/>
      <c r="CF4" s="143" t="s">
        <v>55</v>
      </c>
      <c r="CG4" s="144"/>
      <c r="CH4" s="144"/>
      <c r="CI4" s="145"/>
    </row>
    <row r="5" spans="1:87" ht="45" x14ac:dyDescent="0.25">
      <c r="A5" s="8" t="s">
        <v>168</v>
      </c>
      <c r="B5" s="92" t="s">
        <v>169</v>
      </c>
      <c r="C5" s="91" t="s">
        <v>167</v>
      </c>
      <c r="D5" s="91" t="s">
        <v>12</v>
      </c>
      <c r="E5" s="91" t="s">
        <v>14</v>
      </c>
      <c r="F5" s="91" t="s">
        <v>13</v>
      </c>
      <c r="G5" s="91" t="s">
        <v>167</v>
      </c>
      <c r="H5" s="91" t="s">
        <v>12</v>
      </c>
      <c r="I5" s="91" t="s">
        <v>14</v>
      </c>
      <c r="J5" s="91" t="s">
        <v>13</v>
      </c>
      <c r="L5" s="8" t="s">
        <v>168</v>
      </c>
      <c r="M5" s="92" t="s">
        <v>170</v>
      </c>
      <c r="N5" s="91" t="s">
        <v>167</v>
      </c>
      <c r="O5" s="91" t="s">
        <v>12</v>
      </c>
      <c r="P5" s="91" t="s">
        <v>14</v>
      </c>
      <c r="Q5" s="91" t="s">
        <v>13</v>
      </c>
      <c r="R5" s="91" t="s">
        <v>167</v>
      </c>
      <c r="S5" s="91" t="s">
        <v>12</v>
      </c>
      <c r="T5" s="91" t="s">
        <v>14</v>
      </c>
      <c r="U5" s="91" t="s">
        <v>13</v>
      </c>
      <c r="W5" s="8" t="s">
        <v>168</v>
      </c>
      <c r="X5" s="92" t="s">
        <v>172</v>
      </c>
      <c r="Y5" s="91" t="s">
        <v>167</v>
      </c>
      <c r="Z5" s="91" t="s">
        <v>12</v>
      </c>
      <c r="AA5" s="91" t="s">
        <v>14</v>
      </c>
      <c r="AB5" s="91" t="s">
        <v>13</v>
      </c>
      <c r="AC5" s="91" t="s">
        <v>167</v>
      </c>
      <c r="AD5" s="91" t="s">
        <v>12</v>
      </c>
      <c r="AE5" s="91" t="s">
        <v>14</v>
      </c>
      <c r="AF5" s="91" t="s">
        <v>13</v>
      </c>
      <c r="AH5" s="8" t="s">
        <v>168</v>
      </c>
      <c r="AI5" s="92" t="s">
        <v>173</v>
      </c>
      <c r="AJ5" s="91" t="s">
        <v>167</v>
      </c>
      <c r="AK5" s="91" t="s">
        <v>12</v>
      </c>
      <c r="AL5" s="91" t="s">
        <v>14</v>
      </c>
      <c r="AM5" s="91" t="s">
        <v>13</v>
      </c>
      <c r="AN5" s="91" t="s">
        <v>167</v>
      </c>
      <c r="AO5" s="91" t="s">
        <v>12</v>
      </c>
      <c r="AP5" s="91" t="s">
        <v>14</v>
      </c>
      <c r="AQ5" s="91" t="s">
        <v>13</v>
      </c>
      <c r="AS5" s="8" t="s">
        <v>168</v>
      </c>
      <c r="AT5" s="92" t="s">
        <v>174</v>
      </c>
      <c r="AU5" s="91" t="s">
        <v>167</v>
      </c>
      <c r="AV5" s="91" t="s">
        <v>12</v>
      </c>
      <c r="AW5" s="91" t="s">
        <v>14</v>
      </c>
      <c r="AX5" s="91" t="s">
        <v>13</v>
      </c>
      <c r="AY5" s="91" t="s">
        <v>167</v>
      </c>
      <c r="AZ5" s="91" t="s">
        <v>12</v>
      </c>
      <c r="BA5" s="91" t="s">
        <v>14</v>
      </c>
      <c r="BB5" s="91" t="s">
        <v>13</v>
      </c>
      <c r="BD5" s="8" t="s">
        <v>168</v>
      </c>
      <c r="BE5" s="92" t="s">
        <v>175</v>
      </c>
      <c r="BF5" s="91" t="s">
        <v>167</v>
      </c>
      <c r="BG5" s="91" t="s">
        <v>12</v>
      </c>
      <c r="BH5" s="91" t="s">
        <v>14</v>
      </c>
      <c r="BI5" s="91" t="s">
        <v>13</v>
      </c>
      <c r="BJ5" s="91" t="s">
        <v>167</v>
      </c>
      <c r="BK5" s="91" t="s">
        <v>12</v>
      </c>
      <c r="BL5" s="91" t="s">
        <v>14</v>
      </c>
      <c r="BM5" s="91" t="s">
        <v>13</v>
      </c>
      <c r="BO5" s="8" t="s">
        <v>168</v>
      </c>
      <c r="BP5" s="92" t="s">
        <v>176</v>
      </c>
      <c r="BQ5" s="91" t="s">
        <v>167</v>
      </c>
      <c r="BR5" s="91" t="s">
        <v>12</v>
      </c>
      <c r="BS5" s="91" t="s">
        <v>14</v>
      </c>
      <c r="BT5" s="91" t="s">
        <v>13</v>
      </c>
      <c r="BU5" s="91" t="s">
        <v>167</v>
      </c>
      <c r="BV5" s="91" t="s">
        <v>12</v>
      </c>
      <c r="BW5" s="91" t="s">
        <v>14</v>
      </c>
      <c r="BX5" s="91" t="s">
        <v>13</v>
      </c>
      <c r="BZ5" s="8" t="s">
        <v>168</v>
      </c>
      <c r="CA5" s="92" t="s">
        <v>177</v>
      </c>
      <c r="CB5" s="91" t="s">
        <v>167</v>
      </c>
      <c r="CC5" s="91" t="s">
        <v>12</v>
      </c>
      <c r="CD5" s="91" t="s">
        <v>14</v>
      </c>
      <c r="CE5" s="91" t="s">
        <v>13</v>
      </c>
      <c r="CF5" s="91" t="s">
        <v>167</v>
      </c>
      <c r="CG5" s="91" t="s">
        <v>12</v>
      </c>
      <c r="CH5" s="91" t="s">
        <v>14</v>
      </c>
      <c r="CI5" s="91" t="s">
        <v>13</v>
      </c>
    </row>
    <row r="6" spans="1:87" x14ac:dyDescent="0.25">
      <c r="A6" s="9" t="s">
        <v>0</v>
      </c>
      <c r="B6" s="5">
        <f>'Dental Modeler'!$C14</f>
        <v>1</v>
      </c>
      <c r="C6" s="49">
        <f>ROUND('References (Hide)'!F64,0)</f>
        <v>42</v>
      </c>
      <c r="D6" s="93">
        <v>0.5</v>
      </c>
      <c r="E6" s="49">
        <f>$B6*$C6*$D6</f>
        <v>21</v>
      </c>
      <c r="F6" s="49">
        <f t="shared" ref="F6:F14" si="0">$B6*C6*(1-D6)</f>
        <v>21</v>
      </c>
      <c r="G6" s="49">
        <f>C6</f>
        <v>42</v>
      </c>
      <c r="H6" s="93">
        <v>1</v>
      </c>
      <c r="I6" s="49">
        <f t="shared" ref="I6:I14" si="1">$B6*$G6*$H6</f>
        <v>42</v>
      </c>
      <c r="J6" s="49">
        <f t="shared" ref="J6:J14" si="2">$B6*$C6*(1-$H6)</f>
        <v>0</v>
      </c>
      <c r="L6" s="9" t="s">
        <v>0</v>
      </c>
      <c r="M6" s="5">
        <f>'Dental Modeler'!$D14</f>
        <v>1</v>
      </c>
      <c r="N6" s="49">
        <f>$C6</f>
        <v>42</v>
      </c>
      <c r="O6" s="93">
        <v>0.5</v>
      </c>
      <c r="P6" s="49">
        <f>M6*N6*O6</f>
        <v>21</v>
      </c>
      <c r="Q6" s="49">
        <f>M6*N6*(1-O6)</f>
        <v>21</v>
      </c>
      <c r="R6" s="49">
        <f>N6</f>
        <v>42</v>
      </c>
      <c r="S6" s="93">
        <v>1</v>
      </c>
      <c r="T6" s="49">
        <f>M6*N6*S6</f>
        <v>42</v>
      </c>
      <c r="U6" s="49">
        <f>M6*N6*(1-S6)</f>
        <v>0</v>
      </c>
      <c r="W6" s="9" t="s">
        <v>0</v>
      </c>
      <c r="X6" s="5">
        <f>'Dental Modeler'!$E14</f>
        <v>2</v>
      </c>
      <c r="Y6" s="49">
        <f t="shared" ref="Y6:Y14" si="3">$C6</f>
        <v>42</v>
      </c>
      <c r="Z6" s="93">
        <v>0.5</v>
      </c>
      <c r="AA6" s="49">
        <f>X6*Y6*Z6</f>
        <v>42</v>
      </c>
      <c r="AB6" s="49">
        <f>X6*Y6*(1-Z6)</f>
        <v>42</v>
      </c>
      <c r="AC6" s="49">
        <f>Y6</f>
        <v>42</v>
      </c>
      <c r="AD6" s="93">
        <v>1</v>
      </c>
      <c r="AE6" s="49">
        <f>X6*Y6*AD6</f>
        <v>84</v>
      </c>
      <c r="AF6" s="49">
        <f>X6*Y6*(1-AD6)</f>
        <v>0</v>
      </c>
      <c r="AH6" s="9" t="s">
        <v>0</v>
      </c>
      <c r="AI6" s="5">
        <f>'Dental Modeler'!$F14</f>
        <v>1</v>
      </c>
      <c r="AJ6" s="49">
        <f t="shared" ref="AJ6:AJ14" si="4">$C6</f>
        <v>42</v>
      </c>
      <c r="AK6" s="93">
        <v>0.5</v>
      </c>
      <c r="AL6" s="49">
        <f>AI6*AJ6*AK6</f>
        <v>21</v>
      </c>
      <c r="AM6" s="49">
        <f>AI6*AJ6*(1-AK6)</f>
        <v>21</v>
      </c>
      <c r="AN6" s="49">
        <f>AJ6</f>
        <v>42</v>
      </c>
      <c r="AO6" s="93">
        <v>1</v>
      </c>
      <c r="AP6" s="49">
        <f>AI6*AJ6*AO6</f>
        <v>42</v>
      </c>
      <c r="AQ6" s="49">
        <f>AI6*AJ6*(1-AO6)</f>
        <v>0</v>
      </c>
      <c r="AS6" s="9" t="s">
        <v>0</v>
      </c>
      <c r="AT6" s="5">
        <f>'Dental Modeler'!$G14</f>
        <v>1</v>
      </c>
      <c r="AU6" s="49">
        <f t="shared" ref="AU6:AU14" si="5">$C6</f>
        <v>42</v>
      </c>
      <c r="AV6" s="93">
        <v>0.5</v>
      </c>
      <c r="AW6" s="49">
        <f>AT6*AU6*AV6</f>
        <v>21</v>
      </c>
      <c r="AX6" s="49">
        <f>AT6*AU6*(1-AV6)</f>
        <v>21</v>
      </c>
      <c r="AY6" s="49">
        <f>AU6</f>
        <v>42</v>
      </c>
      <c r="AZ6" s="93">
        <v>1</v>
      </c>
      <c r="BA6" s="49">
        <f>AT6*AU6*AZ6</f>
        <v>42</v>
      </c>
      <c r="BB6" s="49">
        <f>AT6*AU6*(1-AZ6)</f>
        <v>0</v>
      </c>
      <c r="BD6" s="9" t="s">
        <v>0</v>
      </c>
      <c r="BE6" s="5">
        <f>'Dental Modeler'!$H14</f>
        <v>1</v>
      </c>
      <c r="BF6" s="49">
        <f t="shared" ref="BF6:BF14" si="6">$C6</f>
        <v>42</v>
      </c>
      <c r="BG6" s="93">
        <v>0.5</v>
      </c>
      <c r="BH6" s="49">
        <f>BE6*BF6*BG6</f>
        <v>21</v>
      </c>
      <c r="BI6" s="49">
        <f>BE6*BF6*(1-BG6)</f>
        <v>21</v>
      </c>
      <c r="BJ6" s="49">
        <f>BF6</f>
        <v>42</v>
      </c>
      <c r="BK6" s="93">
        <v>1</v>
      </c>
      <c r="BL6" s="49">
        <f>BE6*BF6*BK6</f>
        <v>42</v>
      </c>
      <c r="BM6" s="49">
        <f>BE6*BF6*(1-BK6)</f>
        <v>0</v>
      </c>
      <c r="BO6" s="9" t="s">
        <v>0</v>
      </c>
      <c r="BP6" s="5">
        <f>'Dental Modeler'!$I14</f>
        <v>1</v>
      </c>
      <c r="BQ6" s="49">
        <f t="shared" ref="BQ6:BQ14" si="7">$C6</f>
        <v>42</v>
      </c>
      <c r="BR6" s="93">
        <v>0.5</v>
      </c>
      <c r="BS6" s="49">
        <f>BP6*BQ6*BR6</f>
        <v>21</v>
      </c>
      <c r="BT6" s="49">
        <f>BP6*BQ6*(1-BR6)</f>
        <v>21</v>
      </c>
      <c r="BU6" s="49">
        <f>BQ6</f>
        <v>42</v>
      </c>
      <c r="BV6" s="93">
        <v>1</v>
      </c>
      <c r="BW6" s="49">
        <f>BP6*BQ6*BV6</f>
        <v>42</v>
      </c>
      <c r="BX6" s="49">
        <f>BP6*BQ6*(1-BV6)</f>
        <v>0</v>
      </c>
      <c r="BZ6" s="9" t="s">
        <v>0</v>
      </c>
      <c r="CA6" s="5">
        <f>'Dental Modeler'!$J14</f>
        <v>1</v>
      </c>
      <c r="CB6" s="49">
        <f t="shared" ref="CB6:CB14" si="8">$C6</f>
        <v>42</v>
      </c>
      <c r="CC6" s="93">
        <v>0.5</v>
      </c>
      <c r="CD6" s="49">
        <f>CA6*CB6*CC6</f>
        <v>21</v>
      </c>
      <c r="CE6" s="49">
        <f>CA6*CB6*(1-CC6)</f>
        <v>21</v>
      </c>
      <c r="CF6" s="49">
        <f>CB6</f>
        <v>42</v>
      </c>
      <c r="CG6" s="93">
        <v>1</v>
      </c>
      <c r="CH6" s="49">
        <f>CA6*CB6*CG6</f>
        <v>42</v>
      </c>
      <c r="CI6" s="49">
        <f>CA6*CB6*(1-CG6)</f>
        <v>0</v>
      </c>
    </row>
    <row r="7" spans="1:87" x14ac:dyDescent="0.25">
      <c r="A7" s="10" t="s">
        <v>1</v>
      </c>
      <c r="B7" s="5">
        <f>'Dental Modeler'!$C15</f>
        <v>2</v>
      </c>
      <c r="C7" s="49">
        <f>ROUND(IF(B3=TRUE,'References (Hide)'!$F66,'References (Hide)'!$F65),0)</f>
        <v>56</v>
      </c>
      <c r="D7" s="93">
        <v>0.5</v>
      </c>
      <c r="E7" s="49">
        <f t="shared" ref="E7:E14" si="9">$B7*C7*D7</f>
        <v>56</v>
      </c>
      <c r="F7" s="49">
        <f t="shared" si="0"/>
        <v>56</v>
      </c>
      <c r="G7" s="49">
        <f t="shared" ref="G7:G14" si="10">C7</f>
        <v>56</v>
      </c>
      <c r="H7" s="93">
        <v>1</v>
      </c>
      <c r="I7" s="49">
        <f t="shared" si="1"/>
        <v>112</v>
      </c>
      <c r="J7" s="49">
        <f t="shared" si="2"/>
        <v>0</v>
      </c>
      <c r="L7" s="10" t="s">
        <v>1</v>
      </c>
      <c r="M7" s="5">
        <f>'Dental Modeler'!$D15</f>
        <v>2</v>
      </c>
      <c r="N7" s="49">
        <f>ROUND(IF(M3=TRUE,'References (Hide)'!$F66,'References (Hide)'!$F65),0)</f>
        <v>56</v>
      </c>
      <c r="O7" s="93">
        <v>0.5</v>
      </c>
      <c r="P7" s="49">
        <f t="shared" ref="P7:P14" si="11">M7*N7*O7</f>
        <v>56</v>
      </c>
      <c r="Q7" s="49">
        <f t="shared" ref="Q7:Q14" si="12">M7*N7*(1-O7)</f>
        <v>56</v>
      </c>
      <c r="R7" s="49">
        <f t="shared" ref="R7:R14" si="13">N7</f>
        <v>56</v>
      </c>
      <c r="S7" s="93">
        <v>1</v>
      </c>
      <c r="T7" s="49">
        <f t="shared" ref="T7:T14" si="14">M7*N7*S7</f>
        <v>112</v>
      </c>
      <c r="U7" s="49">
        <f t="shared" ref="U7:U14" si="15">M7*N7*(1-S7)</f>
        <v>0</v>
      </c>
      <c r="W7" s="10" t="s">
        <v>1</v>
      </c>
      <c r="X7" s="5">
        <f>'Dental Modeler'!$E15</f>
        <v>2</v>
      </c>
      <c r="Y7" s="49">
        <f>ROUND(IF(X3=TRUE,'References (Hide)'!$F66,'References (Hide)'!$F65),0)</f>
        <v>56</v>
      </c>
      <c r="Z7" s="93">
        <v>0.5</v>
      </c>
      <c r="AA7" s="49">
        <f t="shared" ref="AA7:AA14" si="16">X7*Y7*Z7</f>
        <v>56</v>
      </c>
      <c r="AB7" s="49">
        <f t="shared" ref="AB7:AB14" si="17">X7*Y7*(1-Z7)</f>
        <v>56</v>
      </c>
      <c r="AC7" s="49">
        <f t="shared" ref="AC7:AC14" si="18">Y7</f>
        <v>56</v>
      </c>
      <c r="AD7" s="93">
        <v>1</v>
      </c>
      <c r="AE7" s="49">
        <f t="shared" ref="AE7:AE14" si="19">X7*Y7*AD7</f>
        <v>112</v>
      </c>
      <c r="AF7" s="49">
        <f t="shared" ref="AF7:AF14" si="20">X7*Y7*(1-AD7)</f>
        <v>0</v>
      </c>
      <c r="AH7" s="10" t="s">
        <v>1</v>
      </c>
      <c r="AI7" s="5">
        <f>'Dental Modeler'!$F15</f>
        <v>2</v>
      </c>
      <c r="AJ7" s="49">
        <f>ROUND(IF(AI3=TRUE,'References (Hide)'!$F66,'References (Hide)'!$F65),0)</f>
        <v>56</v>
      </c>
      <c r="AK7" s="93">
        <v>0.5</v>
      </c>
      <c r="AL7" s="49">
        <f t="shared" ref="AL7:AL14" si="21">AI7*AJ7*AK7</f>
        <v>56</v>
      </c>
      <c r="AM7" s="49">
        <f t="shared" ref="AM7:AM14" si="22">AI7*AJ7*(1-AK7)</f>
        <v>56</v>
      </c>
      <c r="AN7" s="49">
        <f t="shared" ref="AN7:AN14" si="23">AJ7</f>
        <v>56</v>
      </c>
      <c r="AO7" s="93">
        <v>1</v>
      </c>
      <c r="AP7" s="49">
        <f t="shared" ref="AP7:AP14" si="24">AI7*AJ7*AO7</f>
        <v>112</v>
      </c>
      <c r="AQ7" s="49">
        <f t="shared" ref="AQ7:AQ14" si="25">AI7*AJ7*(1-AO7)</f>
        <v>0</v>
      </c>
      <c r="AS7" s="10" t="s">
        <v>1</v>
      </c>
      <c r="AT7" s="5">
        <f>'Dental Modeler'!$G15</f>
        <v>2</v>
      </c>
      <c r="AU7" s="49">
        <f>ROUND(IF(AT3=TRUE,'References (Hide)'!$F66,'References (Hide)'!$F65),0)</f>
        <v>56</v>
      </c>
      <c r="AV7" s="93">
        <v>0.5</v>
      </c>
      <c r="AW7" s="49">
        <f t="shared" ref="AW7:AW14" si="26">AT7*AU7*AV7</f>
        <v>56</v>
      </c>
      <c r="AX7" s="49">
        <f t="shared" ref="AX7:AX14" si="27">AT7*AU7*(1-AV7)</f>
        <v>56</v>
      </c>
      <c r="AY7" s="49">
        <f t="shared" ref="AY7:AY14" si="28">AU7</f>
        <v>56</v>
      </c>
      <c r="AZ7" s="93">
        <v>1</v>
      </c>
      <c r="BA7" s="49">
        <f t="shared" ref="BA7:BA14" si="29">AT7*AU7*AZ7</f>
        <v>112</v>
      </c>
      <c r="BB7" s="49">
        <f t="shared" ref="BB7:BB14" si="30">AT7*AU7*(1-AZ7)</f>
        <v>0</v>
      </c>
      <c r="BD7" s="10" t="s">
        <v>1</v>
      </c>
      <c r="BE7" s="5">
        <f>'Dental Modeler'!$H15</f>
        <v>2</v>
      </c>
      <c r="BF7" s="49">
        <f>ROUND(IF(BE3=TRUE,'References (Hide)'!$F66,'References (Hide)'!$F65),0)</f>
        <v>56</v>
      </c>
      <c r="BG7" s="93">
        <v>0.5</v>
      </c>
      <c r="BH7" s="49">
        <f t="shared" ref="BH7:BH14" si="31">BE7*BF7*BG7</f>
        <v>56</v>
      </c>
      <c r="BI7" s="49">
        <f t="shared" ref="BI7:BI14" si="32">BE7*BF7*(1-BG7)</f>
        <v>56</v>
      </c>
      <c r="BJ7" s="49">
        <f t="shared" ref="BJ7:BJ14" si="33">BF7</f>
        <v>56</v>
      </c>
      <c r="BK7" s="93">
        <v>1</v>
      </c>
      <c r="BL7" s="49">
        <f t="shared" ref="BL7:BL14" si="34">BE7*BF7*BK7</f>
        <v>112</v>
      </c>
      <c r="BM7" s="49">
        <f t="shared" ref="BM7:BM14" si="35">BE7*BF7*(1-BK7)</f>
        <v>0</v>
      </c>
      <c r="BO7" s="10" t="s">
        <v>1</v>
      </c>
      <c r="BP7" s="5">
        <f>'Dental Modeler'!$I15</f>
        <v>2</v>
      </c>
      <c r="BQ7" s="49">
        <f>ROUND(IF(BP3=TRUE,'References (Hide)'!$F66,'References (Hide)'!$F65),0)</f>
        <v>56</v>
      </c>
      <c r="BR7" s="93">
        <v>0.5</v>
      </c>
      <c r="BS7" s="49">
        <f t="shared" ref="BS7:BS14" si="36">BP7*BQ7*BR7</f>
        <v>56</v>
      </c>
      <c r="BT7" s="49">
        <f t="shared" ref="BT7:BT14" si="37">BP7*BQ7*(1-BR7)</f>
        <v>56</v>
      </c>
      <c r="BU7" s="49">
        <f t="shared" ref="BU7:BU14" si="38">BQ7</f>
        <v>56</v>
      </c>
      <c r="BV7" s="93">
        <v>1</v>
      </c>
      <c r="BW7" s="49">
        <f t="shared" ref="BW7:BW14" si="39">BP7*BQ7*BV7</f>
        <v>112</v>
      </c>
      <c r="BX7" s="49">
        <f t="shared" ref="BX7:BX14" si="40">BP7*BQ7*(1-BV7)</f>
        <v>0</v>
      </c>
      <c r="BZ7" s="10" t="s">
        <v>1</v>
      </c>
      <c r="CA7" s="5">
        <f>'Dental Modeler'!$J15</f>
        <v>2</v>
      </c>
      <c r="CB7" s="49">
        <f>ROUND(IF(CA3=TRUE,'References (Hide)'!$F66,'References (Hide)'!$F65),0)</f>
        <v>56</v>
      </c>
      <c r="CC7" s="93">
        <v>0.5</v>
      </c>
      <c r="CD7" s="49">
        <f t="shared" ref="CD7:CD14" si="41">CA7*CB7*CC7</f>
        <v>56</v>
      </c>
      <c r="CE7" s="49">
        <f t="shared" ref="CE7:CE14" si="42">CA7*CB7*(1-CC7)</f>
        <v>56</v>
      </c>
      <c r="CF7" s="49">
        <f t="shared" ref="CF7:CF14" si="43">CB7</f>
        <v>56</v>
      </c>
      <c r="CG7" s="93">
        <v>1</v>
      </c>
      <c r="CH7" s="49">
        <f t="shared" ref="CH7:CH14" si="44">CA7*CB7*CG7</f>
        <v>112</v>
      </c>
      <c r="CI7" s="49">
        <f t="shared" ref="CI7:CI14" si="45">CA7*CB7*(1-CG7)</f>
        <v>0</v>
      </c>
    </row>
    <row r="8" spans="1:87" x14ac:dyDescent="0.25">
      <c r="A8" s="10" t="s">
        <v>3</v>
      </c>
      <c r="B8" s="5">
        <f>'Dental Modeler'!$C16</f>
        <v>1</v>
      </c>
      <c r="C8" s="49">
        <f>ROUND('References (Hide)'!F67,0)</f>
        <v>50</v>
      </c>
      <c r="D8" s="93">
        <v>0.5</v>
      </c>
      <c r="E8" s="49">
        <f t="shared" si="9"/>
        <v>25</v>
      </c>
      <c r="F8" s="49">
        <f t="shared" si="0"/>
        <v>25</v>
      </c>
      <c r="G8" s="49">
        <f t="shared" si="10"/>
        <v>50</v>
      </c>
      <c r="H8" s="93">
        <v>1</v>
      </c>
      <c r="I8" s="49">
        <f t="shared" si="1"/>
        <v>50</v>
      </c>
      <c r="J8" s="49">
        <f t="shared" si="2"/>
        <v>0</v>
      </c>
      <c r="L8" s="10" t="s">
        <v>3</v>
      </c>
      <c r="M8" s="5">
        <f>'Dental Modeler'!$D16</f>
        <v>1</v>
      </c>
      <c r="N8" s="49">
        <f t="shared" ref="N8:N14" si="46">$C8</f>
        <v>50</v>
      </c>
      <c r="O8" s="93">
        <v>0.5</v>
      </c>
      <c r="P8" s="49">
        <f t="shared" si="11"/>
        <v>25</v>
      </c>
      <c r="Q8" s="49">
        <f t="shared" si="12"/>
        <v>25</v>
      </c>
      <c r="R8" s="49">
        <f t="shared" si="13"/>
        <v>50</v>
      </c>
      <c r="S8" s="93">
        <v>1</v>
      </c>
      <c r="T8" s="49">
        <f t="shared" si="14"/>
        <v>50</v>
      </c>
      <c r="U8" s="49">
        <f t="shared" si="15"/>
        <v>0</v>
      </c>
      <c r="W8" s="10" t="s">
        <v>3</v>
      </c>
      <c r="X8" s="5">
        <f>'Dental Modeler'!$E16</f>
        <v>1</v>
      </c>
      <c r="Y8" s="49">
        <f t="shared" si="3"/>
        <v>50</v>
      </c>
      <c r="Z8" s="93">
        <v>0.5</v>
      </c>
      <c r="AA8" s="49">
        <f t="shared" si="16"/>
        <v>25</v>
      </c>
      <c r="AB8" s="49">
        <f t="shared" si="17"/>
        <v>25</v>
      </c>
      <c r="AC8" s="49">
        <f t="shared" si="18"/>
        <v>50</v>
      </c>
      <c r="AD8" s="93">
        <v>1</v>
      </c>
      <c r="AE8" s="49">
        <f t="shared" si="19"/>
        <v>50</v>
      </c>
      <c r="AF8" s="49">
        <f t="shared" si="20"/>
        <v>0</v>
      </c>
      <c r="AH8" s="10" t="s">
        <v>3</v>
      </c>
      <c r="AI8" s="5">
        <f>'Dental Modeler'!$F16</f>
        <v>1</v>
      </c>
      <c r="AJ8" s="49">
        <f t="shared" si="4"/>
        <v>50</v>
      </c>
      <c r="AK8" s="93">
        <v>0.5</v>
      </c>
      <c r="AL8" s="49">
        <f t="shared" si="21"/>
        <v>25</v>
      </c>
      <c r="AM8" s="49">
        <f t="shared" si="22"/>
        <v>25</v>
      </c>
      <c r="AN8" s="49">
        <f t="shared" si="23"/>
        <v>50</v>
      </c>
      <c r="AO8" s="93">
        <v>1</v>
      </c>
      <c r="AP8" s="49">
        <f t="shared" si="24"/>
        <v>50</v>
      </c>
      <c r="AQ8" s="49">
        <f t="shared" si="25"/>
        <v>0</v>
      </c>
      <c r="AS8" s="10" t="s">
        <v>3</v>
      </c>
      <c r="AT8" s="5">
        <f>'Dental Modeler'!$G16</f>
        <v>1</v>
      </c>
      <c r="AU8" s="49">
        <f t="shared" si="5"/>
        <v>50</v>
      </c>
      <c r="AV8" s="93">
        <v>0.5</v>
      </c>
      <c r="AW8" s="49">
        <f t="shared" si="26"/>
        <v>25</v>
      </c>
      <c r="AX8" s="49">
        <f t="shared" si="27"/>
        <v>25</v>
      </c>
      <c r="AY8" s="49">
        <f t="shared" si="28"/>
        <v>50</v>
      </c>
      <c r="AZ8" s="93">
        <v>1</v>
      </c>
      <c r="BA8" s="49">
        <f t="shared" si="29"/>
        <v>50</v>
      </c>
      <c r="BB8" s="49">
        <f t="shared" si="30"/>
        <v>0</v>
      </c>
      <c r="BD8" s="10" t="s">
        <v>3</v>
      </c>
      <c r="BE8" s="5">
        <f>'Dental Modeler'!$H16</f>
        <v>1</v>
      </c>
      <c r="BF8" s="49">
        <f t="shared" si="6"/>
        <v>50</v>
      </c>
      <c r="BG8" s="93">
        <v>0.5</v>
      </c>
      <c r="BH8" s="49">
        <f t="shared" si="31"/>
        <v>25</v>
      </c>
      <c r="BI8" s="49">
        <f t="shared" si="32"/>
        <v>25</v>
      </c>
      <c r="BJ8" s="49">
        <f t="shared" si="33"/>
        <v>50</v>
      </c>
      <c r="BK8" s="93">
        <v>1</v>
      </c>
      <c r="BL8" s="49">
        <f t="shared" si="34"/>
        <v>50</v>
      </c>
      <c r="BM8" s="49">
        <f t="shared" si="35"/>
        <v>0</v>
      </c>
      <c r="BO8" s="10" t="s">
        <v>3</v>
      </c>
      <c r="BP8" s="5">
        <f>'Dental Modeler'!$I16</f>
        <v>1</v>
      </c>
      <c r="BQ8" s="49">
        <f t="shared" si="7"/>
        <v>50</v>
      </c>
      <c r="BR8" s="93">
        <v>0.5</v>
      </c>
      <c r="BS8" s="49">
        <f t="shared" si="36"/>
        <v>25</v>
      </c>
      <c r="BT8" s="49">
        <f t="shared" si="37"/>
        <v>25</v>
      </c>
      <c r="BU8" s="49">
        <f t="shared" si="38"/>
        <v>50</v>
      </c>
      <c r="BV8" s="93">
        <v>1</v>
      </c>
      <c r="BW8" s="49">
        <f t="shared" si="39"/>
        <v>50</v>
      </c>
      <c r="BX8" s="49">
        <f t="shared" si="40"/>
        <v>0</v>
      </c>
      <c r="BZ8" s="10" t="s">
        <v>3</v>
      </c>
      <c r="CA8" s="5">
        <f>'Dental Modeler'!$J16</f>
        <v>1</v>
      </c>
      <c r="CB8" s="49">
        <f t="shared" si="8"/>
        <v>50</v>
      </c>
      <c r="CC8" s="93">
        <v>0.5</v>
      </c>
      <c r="CD8" s="49">
        <f t="shared" si="41"/>
        <v>25</v>
      </c>
      <c r="CE8" s="49">
        <f t="shared" si="42"/>
        <v>25</v>
      </c>
      <c r="CF8" s="49">
        <f t="shared" si="43"/>
        <v>50</v>
      </c>
      <c r="CG8" s="93">
        <v>1</v>
      </c>
      <c r="CH8" s="49">
        <f t="shared" si="44"/>
        <v>50</v>
      </c>
      <c r="CI8" s="49">
        <f t="shared" si="45"/>
        <v>0</v>
      </c>
    </row>
    <row r="9" spans="1:87" x14ac:dyDescent="0.25">
      <c r="A9" s="10" t="s">
        <v>2</v>
      </c>
      <c r="B9" s="5">
        <f>'Dental Modeler'!$C17</f>
        <v>0</v>
      </c>
      <c r="C9" s="49">
        <f>ROUND('References (Hide)'!F68,0)</f>
        <v>35</v>
      </c>
      <c r="D9" s="93">
        <v>0.5</v>
      </c>
      <c r="E9" s="49">
        <f t="shared" si="9"/>
        <v>0</v>
      </c>
      <c r="F9" s="49">
        <f t="shared" si="0"/>
        <v>0</v>
      </c>
      <c r="G9" s="49">
        <f t="shared" si="10"/>
        <v>35</v>
      </c>
      <c r="H9" s="93">
        <v>1</v>
      </c>
      <c r="I9" s="49">
        <f t="shared" si="1"/>
        <v>0</v>
      </c>
      <c r="J9" s="49">
        <f t="shared" si="2"/>
        <v>0</v>
      </c>
      <c r="L9" s="10" t="s">
        <v>2</v>
      </c>
      <c r="M9" s="5">
        <f>'Dental Modeler'!$D17</f>
        <v>0</v>
      </c>
      <c r="N9" s="49">
        <f t="shared" si="46"/>
        <v>35</v>
      </c>
      <c r="O9" s="93">
        <v>0.5</v>
      </c>
      <c r="P9" s="49">
        <f t="shared" si="11"/>
        <v>0</v>
      </c>
      <c r="Q9" s="49">
        <f t="shared" si="12"/>
        <v>0</v>
      </c>
      <c r="R9" s="49">
        <f t="shared" si="13"/>
        <v>35</v>
      </c>
      <c r="S9" s="93">
        <v>1</v>
      </c>
      <c r="T9" s="49">
        <f t="shared" si="14"/>
        <v>0</v>
      </c>
      <c r="U9" s="49">
        <f t="shared" si="15"/>
        <v>0</v>
      </c>
      <c r="W9" s="10" t="s">
        <v>2</v>
      </c>
      <c r="X9" s="5">
        <f>'Dental Modeler'!$E17</f>
        <v>1</v>
      </c>
      <c r="Y9" s="49">
        <f t="shared" si="3"/>
        <v>35</v>
      </c>
      <c r="Z9" s="93">
        <v>0.5</v>
      </c>
      <c r="AA9" s="49">
        <f t="shared" si="16"/>
        <v>17.5</v>
      </c>
      <c r="AB9" s="49">
        <f t="shared" si="17"/>
        <v>17.5</v>
      </c>
      <c r="AC9" s="49">
        <f t="shared" si="18"/>
        <v>35</v>
      </c>
      <c r="AD9" s="93">
        <v>1</v>
      </c>
      <c r="AE9" s="49">
        <f t="shared" si="19"/>
        <v>35</v>
      </c>
      <c r="AF9" s="49">
        <f t="shared" si="20"/>
        <v>0</v>
      </c>
      <c r="AH9" s="10" t="s">
        <v>2</v>
      </c>
      <c r="AI9" s="5">
        <f>'Dental Modeler'!$F17</f>
        <v>1</v>
      </c>
      <c r="AJ9" s="49">
        <f t="shared" si="4"/>
        <v>35</v>
      </c>
      <c r="AK9" s="93">
        <v>0.5</v>
      </c>
      <c r="AL9" s="49">
        <f t="shared" si="21"/>
        <v>17.5</v>
      </c>
      <c r="AM9" s="49">
        <f t="shared" si="22"/>
        <v>17.5</v>
      </c>
      <c r="AN9" s="49">
        <f t="shared" si="23"/>
        <v>35</v>
      </c>
      <c r="AO9" s="93">
        <v>1</v>
      </c>
      <c r="AP9" s="49">
        <f t="shared" si="24"/>
        <v>35</v>
      </c>
      <c r="AQ9" s="49">
        <f t="shared" si="25"/>
        <v>0</v>
      </c>
      <c r="AS9" s="10" t="s">
        <v>2</v>
      </c>
      <c r="AT9" s="5">
        <f>'Dental Modeler'!$G17</f>
        <v>1</v>
      </c>
      <c r="AU9" s="49">
        <f t="shared" si="5"/>
        <v>35</v>
      </c>
      <c r="AV9" s="93">
        <v>0.5</v>
      </c>
      <c r="AW9" s="49">
        <f t="shared" si="26"/>
        <v>17.5</v>
      </c>
      <c r="AX9" s="49">
        <f t="shared" si="27"/>
        <v>17.5</v>
      </c>
      <c r="AY9" s="49">
        <f t="shared" si="28"/>
        <v>35</v>
      </c>
      <c r="AZ9" s="93">
        <v>1</v>
      </c>
      <c r="BA9" s="49">
        <f t="shared" si="29"/>
        <v>35</v>
      </c>
      <c r="BB9" s="49">
        <f t="shared" si="30"/>
        <v>0</v>
      </c>
      <c r="BD9" s="10" t="s">
        <v>2</v>
      </c>
      <c r="BE9" s="5">
        <f>'Dental Modeler'!$H17</f>
        <v>0</v>
      </c>
      <c r="BF9" s="49">
        <f t="shared" si="6"/>
        <v>35</v>
      </c>
      <c r="BG9" s="93">
        <v>0.5</v>
      </c>
      <c r="BH9" s="49">
        <f t="shared" si="31"/>
        <v>0</v>
      </c>
      <c r="BI9" s="49">
        <f t="shared" si="32"/>
        <v>0</v>
      </c>
      <c r="BJ9" s="49">
        <f t="shared" si="33"/>
        <v>35</v>
      </c>
      <c r="BK9" s="93">
        <v>1</v>
      </c>
      <c r="BL9" s="49">
        <f t="shared" si="34"/>
        <v>0</v>
      </c>
      <c r="BM9" s="49">
        <f t="shared" si="35"/>
        <v>0</v>
      </c>
      <c r="BO9" s="10" t="s">
        <v>2</v>
      </c>
      <c r="BP9" s="5">
        <f>'Dental Modeler'!$I17</f>
        <v>0</v>
      </c>
      <c r="BQ9" s="49">
        <f t="shared" si="7"/>
        <v>35</v>
      </c>
      <c r="BR9" s="93">
        <v>0.5</v>
      </c>
      <c r="BS9" s="49">
        <f t="shared" si="36"/>
        <v>0</v>
      </c>
      <c r="BT9" s="49">
        <f t="shared" si="37"/>
        <v>0</v>
      </c>
      <c r="BU9" s="49">
        <f t="shared" si="38"/>
        <v>35</v>
      </c>
      <c r="BV9" s="93">
        <v>1</v>
      </c>
      <c r="BW9" s="49">
        <f t="shared" si="39"/>
        <v>0</v>
      </c>
      <c r="BX9" s="49">
        <f t="shared" si="40"/>
        <v>0</v>
      </c>
      <c r="BZ9" s="10" t="s">
        <v>2</v>
      </c>
      <c r="CA9" s="5">
        <f>'Dental Modeler'!$J17</f>
        <v>0</v>
      </c>
      <c r="CB9" s="49">
        <f t="shared" si="8"/>
        <v>35</v>
      </c>
      <c r="CC9" s="93">
        <v>0.5</v>
      </c>
      <c r="CD9" s="49">
        <f t="shared" si="41"/>
        <v>0</v>
      </c>
      <c r="CE9" s="49">
        <f t="shared" si="42"/>
        <v>0</v>
      </c>
      <c r="CF9" s="49">
        <f t="shared" si="43"/>
        <v>35</v>
      </c>
      <c r="CG9" s="93">
        <v>1</v>
      </c>
      <c r="CH9" s="49">
        <f t="shared" si="44"/>
        <v>0</v>
      </c>
      <c r="CI9" s="49">
        <f t="shared" si="45"/>
        <v>0</v>
      </c>
    </row>
    <row r="10" spans="1:87" x14ac:dyDescent="0.25">
      <c r="A10" s="10" t="s">
        <v>4</v>
      </c>
      <c r="B10" s="5">
        <f>'Dental Modeler'!$C18</f>
        <v>1</v>
      </c>
      <c r="C10" s="49">
        <f>ROUND('References (Hide)'!F69,0)</f>
        <v>176</v>
      </c>
      <c r="D10" s="93">
        <v>0.5</v>
      </c>
      <c r="E10" s="49">
        <f t="shared" si="9"/>
        <v>88</v>
      </c>
      <c r="F10" s="49">
        <f t="shared" si="0"/>
        <v>88</v>
      </c>
      <c r="G10" s="49">
        <f t="shared" si="10"/>
        <v>176</v>
      </c>
      <c r="H10" s="93">
        <v>0.7</v>
      </c>
      <c r="I10" s="49">
        <f t="shared" si="1"/>
        <v>123.19999999999999</v>
      </c>
      <c r="J10" s="49">
        <f t="shared" si="2"/>
        <v>52.800000000000011</v>
      </c>
      <c r="L10" s="10" t="s">
        <v>4</v>
      </c>
      <c r="M10" s="5">
        <f>'Dental Modeler'!$D18</f>
        <v>0</v>
      </c>
      <c r="N10" s="49">
        <f t="shared" si="46"/>
        <v>176</v>
      </c>
      <c r="O10" s="93">
        <v>0.5</v>
      </c>
      <c r="P10" s="49">
        <f t="shared" si="11"/>
        <v>0</v>
      </c>
      <c r="Q10" s="49">
        <f t="shared" si="12"/>
        <v>0</v>
      </c>
      <c r="R10" s="49">
        <f t="shared" si="13"/>
        <v>176</v>
      </c>
      <c r="S10" s="93">
        <v>0.7</v>
      </c>
      <c r="T10" s="49">
        <f t="shared" si="14"/>
        <v>0</v>
      </c>
      <c r="U10" s="49">
        <f t="shared" si="15"/>
        <v>0</v>
      </c>
      <c r="W10" s="10" t="s">
        <v>4</v>
      </c>
      <c r="X10" s="5">
        <f>'Dental Modeler'!$E18</f>
        <v>2</v>
      </c>
      <c r="Y10" s="49">
        <f t="shared" si="3"/>
        <v>176</v>
      </c>
      <c r="Z10" s="93">
        <v>0.5</v>
      </c>
      <c r="AA10" s="49">
        <f t="shared" si="16"/>
        <v>176</v>
      </c>
      <c r="AB10" s="49">
        <f t="shared" si="17"/>
        <v>176</v>
      </c>
      <c r="AC10" s="49">
        <f t="shared" si="18"/>
        <v>176</v>
      </c>
      <c r="AD10" s="93">
        <v>0.7</v>
      </c>
      <c r="AE10" s="49">
        <f t="shared" si="19"/>
        <v>246.39999999999998</v>
      </c>
      <c r="AF10" s="49">
        <f t="shared" si="20"/>
        <v>105.60000000000002</v>
      </c>
      <c r="AH10" s="10" t="s">
        <v>4</v>
      </c>
      <c r="AI10" s="5">
        <f>'Dental Modeler'!$F18</f>
        <v>1</v>
      </c>
      <c r="AJ10" s="49">
        <f t="shared" si="4"/>
        <v>176</v>
      </c>
      <c r="AK10" s="93">
        <v>0.5</v>
      </c>
      <c r="AL10" s="49">
        <f t="shared" si="21"/>
        <v>88</v>
      </c>
      <c r="AM10" s="49">
        <f t="shared" si="22"/>
        <v>88</v>
      </c>
      <c r="AN10" s="49">
        <f t="shared" si="23"/>
        <v>176</v>
      </c>
      <c r="AO10" s="93">
        <v>0.7</v>
      </c>
      <c r="AP10" s="49">
        <f t="shared" si="24"/>
        <v>123.19999999999999</v>
      </c>
      <c r="AQ10" s="49">
        <f t="shared" si="25"/>
        <v>52.800000000000011</v>
      </c>
      <c r="AS10" s="10" t="s">
        <v>4</v>
      </c>
      <c r="AT10" s="5">
        <f>'Dental Modeler'!$G18</f>
        <v>1</v>
      </c>
      <c r="AU10" s="49">
        <f t="shared" si="5"/>
        <v>176</v>
      </c>
      <c r="AV10" s="93">
        <v>0.5</v>
      </c>
      <c r="AW10" s="49">
        <f t="shared" si="26"/>
        <v>88</v>
      </c>
      <c r="AX10" s="49">
        <f t="shared" si="27"/>
        <v>88</v>
      </c>
      <c r="AY10" s="49">
        <f t="shared" si="28"/>
        <v>176</v>
      </c>
      <c r="AZ10" s="93">
        <v>0.7</v>
      </c>
      <c r="BA10" s="49">
        <f t="shared" si="29"/>
        <v>123.19999999999999</v>
      </c>
      <c r="BB10" s="49">
        <f t="shared" si="30"/>
        <v>52.800000000000011</v>
      </c>
      <c r="BD10" s="10" t="s">
        <v>4</v>
      </c>
      <c r="BE10" s="5">
        <f>'Dental Modeler'!$H18</f>
        <v>0</v>
      </c>
      <c r="BF10" s="49">
        <f t="shared" si="6"/>
        <v>176</v>
      </c>
      <c r="BG10" s="93">
        <v>0.5</v>
      </c>
      <c r="BH10" s="49">
        <f t="shared" si="31"/>
        <v>0</v>
      </c>
      <c r="BI10" s="49">
        <f t="shared" si="32"/>
        <v>0</v>
      </c>
      <c r="BJ10" s="49">
        <f t="shared" si="33"/>
        <v>176</v>
      </c>
      <c r="BK10" s="93">
        <v>0.7</v>
      </c>
      <c r="BL10" s="49">
        <f t="shared" si="34"/>
        <v>0</v>
      </c>
      <c r="BM10" s="49">
        <f t="shared" si="35"/>
        <v>0</v>
      </c>
      <c r="BO10" s="10" t="s">
        <v>4</v>
      </c>
      <c r="BP10" s="5">
        <f>'Dental Modeler'!$I18</f>
        <v>0</v>
      </c>
      <c r="BQ10" s="49">
        <f t="shared" si="7"/>
        <v>176</v>
      </c>
      <c r="BR10" s="93">
        <v>0.5</v>
      </c>
      <c r="BS10" s="49">
        <f t="shared" si="36"/>
        <v>0</v>
      </c>
      <c r="BT10" s="49">
        <f t="shared" si="37"/>
        <v>0</v>
      </c>
      <c r="BU10" s="49">
        <f t="shared" si="38"/>
        <v>176</v>
      </c>
      <c r="BV10" s="93">
        <v>0.7</v>
      </c>
      <c r="BW10" s="49">
        <f t="shared" si="39"/>
        <v>0</v>
      </c>
      <c r="BX10" s="49">
        <f t="shared" si="40"/>
        <v>0</v>
      </c>
      <c r="BZ10" s="10" t="s">
        <v>4</v>
      </c>
      <c r="CA10" s="5">
        <f>'Dental Modeler'!$J18</f>
        <v>0</v>
      </c>
      <c r="CB10" s="49">
        <f t="shared" si="8"/>
        <v>176</v>
      </c>
      <c r="CC10" s="93">
        <v>0.5</v>
      </c>
      <c r="CD10" s="49">
        <f t="shared" si="41"/>
        <v>0</v>
      </c>
      <c r="CE10" s="49">
        <f t="shared" si="42"/>
        <v>0</v>
      </c>
      <c r="CF10" s="49">
        <f t="shared" si="43"/>
        <v>176</v>
      </c>
      <c r="CG10" s="93">
        <v>0.7</v>
      </c>
      <c r="CH10" s="49">
        <f t="shared" si="44"/>
        <v>0</v>
      </c>
      <c r="CI10" s="49">
        <f t="shared" si="45"/>
        <v>0</v>
      </c>
    </row>
    <row r="11" spans="1:87" x14ac:dyDescent="0.25">
      <c r="A11" s="10" t="s">
        <v>6</v>
      </c>
      <c r="B11" s="5">
        <f>'Dental Modeler'!$C19</f>
        <v>0</v>
      </c>
      <c r="C11" s="49">
        <f>ROUND('References (Hide)'!F70,0)</f>
        <v>905</v>
      </c>
      <c r="D11" s="93">
        <v>0.5</v>
      </c>
      <c r="E11" s="49">
        <f t="shared" si="9"/>
        <v>0</v>
      </c>
      <c r="F11" s="49">
        <f t="shared" si="0"/>
        <v>0</v>
      </c>
      <c r="G11" s="49">
        <f t="shared" si="10"/>
        <v>905</v>
      </c>
      <c r="H11" s="93">
        <v>0.7</v>
      </c>
      <c r="I11" s="49">
        <f t="shared" si="1"/>
        <v>0</v>
      </c>
      <c r="J11" s="49">
        <f t="shared" si="2"/>
        <v>0</v>
      </c>
      <c r="L11" s="10" t="s">
        <v>6</v>
      </c>
      <c r="M11" s="5">
        <f>'Dental Modeler'!$D19</f>
        <v>0</v>
      </c>
      <c r="N11" s="49">
        <f t="shared" si="46"/>
        <v>905</v>
      </c>
      <c r="O11" s="93">
        <v>0.5</v>
      </c>
      <c r="P11" s="49">
        <f t="shared" si="11"/>
        <v>0</v>
      </c>
      <c r="Q11" s="49">
        <f t="shared" si="12"/>
        <v>0</v>
      </c>
      <c r="R11" s="49">
        <f t="shared" si="13"/>
        <v>905</v>
      </c>
      <c r="S11" s="93">
        <v>0.7</v>
      </c>
      <c r="T11" s="49">
        <f t="shared" si="14"/>
        <v>0</v>
      </c>
      <c r="U11" s="49">
        <f t="shared" si="15"/>
        <v>0</v>
      </c>
      <c r="W11" s="10" t="s">
        <v>6</v>
      </c>
      <c r="X11" s="5">
        <f>'Dental Modeler'!$E19</f>
        <v>0</v>
      </c>
      <c r="Y11" s="49">
        <f t="shared" si="3"/>
        <v>905</v>
      </c>
      <c r="Z11" s="93">
        <v>0.5</v>
      </c>
      <c r="AA11" s="49">
        <f t="shared" si="16"/>
        <v>0</v>
      </c>
      <c r="AB11" s="49">
        <f t="shared" si="17"/>
        <v>0</v>
      </c>
      <c r="AC11" s="49">
        <f t="shared" si="18"/>
        <v>905</v>
      </c>
      <c r="AD11" s="93">
        <v>0.7</v>
      </c>
      <c r="AE11" s="49">
        <f t="shared" si="19"/>
        <v>0</v>
      </c>
      <c r="AF11" s="49">
        <f t="shared" si="20"/>
        <v>0</v>
      </c>
      <c r="AH11" s="10" t="s">
        <v>6</v>
      </c>
      <c r="AI11" s="5">
        <f>'Dental Modeler'!$F19</f>
        <v>0</v>
      </c>
      <c r="AJ11" s="49">
        <f t="shared" si="4"/>
        <v>905</v>
      </c>
      <c r="AK11" s="93">
        <v>0.5</v>
      </c>
      <c r="AL11" s="49">
        <f t="shared" si="21"/>
        <v>0</v>
      </c>
      <c r="AM11" s="49">
        <f t="shared" si="22"/>
        <v>0</v>
      </c>
      <c r="AN11" s="49">
        <f t="shared" si="23"/>
        <v>905</v>
      </c>
      <c r="AO11" s="93">
        <v>0.7</v>
      </c>
      <c r="AP11" s="49">
        <f t="shared" si="24"/>
        <v>0</v>
      </c>
      <c r="AQ11" s="49">
        <f t="shared" si="25"/>
        <v>0</v>
      </c>
      <c r="AS11" s="10" t="s">
        <v>6</v>
      </c>
      <c r="AT11" s="5">
        <f>'Dental Modeler'!$G19</f>
        <v>0</v>
      </c>
      <c r="AU11" s="49">
        <f t="shared" si="5"/>
        <v>905</v>
      </c>
      <c r="AV11" s="93">
        <v>0.5</v>
      </c>
      <c r="AW11" s="49">
        <f t="shared" si="26"/>
        <v>0</v>
      </c>
      <c r="AX11" s="49">
        <f t="shared" si="27"/>
        <v>0</v>
      </c>
      <c r="AY11" s="49">
        <f t="shared" si="28"/>
        <v>905</v>
      </c>
      <c r="AZ11" s="93">
        <v>0.7</v>
      </c>
      <c r="BA11" s="49">
        <f t="shared" si="29"/>
        <v>0</v>
      </c>
      <c r="BB11" s="49">
        <f t="shared" si="30"/>
        <v>0</v>
      </c>
      <c r="BD11" s="10" t="s">
        <v>6</v>
      </c>
      <c r="BE11" s="5">
        <f>'Dental Modeler'!$H19</f>
        <v>0</v>
      </c>
      <c r="BF11" s="49">
        <f t="shared" si="6"/>
        <v>905</v>
      </c>
      <c r="BG11" s="93">
        <v>0.5</v>
      </c>
      <c r="BH11" s="49">
        <f t="shared" si="31"/>
        <v>0</v>
      </c>
      <c r="BI11" s="49">
        <f t="shared" si="32"/>
        <v>0</v>
      </c>
      <c r="BJ11" s="49">
        <f t="shared" si="33"/>
        <v>905</v>
      </c>
      <c r="BK11" s="93">
        <v>0.7</v>
      </c>
      <c r="BL11" s="49">
        <f t="shared" si="34"/>
        <v>0</v>
      </c>
      <c r="BM11" s="49">
        <f t="shared" si="35"/>
        <v>0</v>
      </c>
      <c r="BO11" s="10" t="s">
        <v>6</v>
      </c>
      <c r="BP11" s="5">
        <f>'Dental Modeler'!$I19</f>
        <v>0</v>
      </c>
      <c r="BQ11" s="49">
        <f t="shared" si="7"/>
        <v>905</v>
      </c>
      <c r="BR11" s="93">
        <v>0.5</v>
      </c>
      <c r="BS11" s="49">
        <f t="shared" si="36"/>
        <v>0</v>
      </c>
      <c r="BT11" s="49">
        <f t="shared" si="37"/>
        <v>0</v>
      </c>
      <c r="BU11" s="49">
        <f t="shared" si="38"/>
        <v>905</v>
      </c>
      <c r="BV11" s="93">
        <v>0.7</v>
      </c>
      <c r="BW11" s="49">
        <f t="shared" si="39"/>
        <v>0</v>
      </c>
      <c r="BX11" s="49">
        <f t="shared" si="40"/>
        <v>0</v>
      </c>
      <c r="BZ11" s="10" t="s">
        <v>6</v>
      </c>
      <c r="CA11" s="5">
        <f>'Dental Modeler'!$J19</f>
        <v>0</v>
      </c>
      <c r="CB11" s="49">
        <f t="shared" si="8"/>
        <v>905</v>
      </c>
      <c r="CC11" s="93">
        <v>0.5</v>
      </c>
      <c r="CD11" s="49">
        <f t="shared" si="41"/>
        <v>0</v>
      </c>
      <c r="CE11" s="49">
        <f t="shared" si="42"/>
        <v>0</v>
      </c>
      <c r="CF11" s="49">
        <f t="shared" si="43"/>
        <v>905</v>
      </c>
      <c r="CG11" s="93">
        <v>0.7</v>
      </c>
      <c r="CH11" s="49">
        <f t="shared" si="44"/>
        <v>0</v>
      </c>
      <c r="CI11" s="49">
        <f t="shared" si="45"/>
        <v>0</v>
      </c>
    </row>
    <row r="12" spans="1:87" x14ac:dyDescent="0.25">
      <c r="A12" s="10" t="s">
        <v>5</v>
      </c>
      <c r="B12" s="5">
        <f>'Dental Modeler'!$C20</f>
        <v>1</v>
      </c>
      <c r="C12" s="49">
        <f>ROUND('References (Hide)'!F71,0)</f>
        <v>926</v>
      </c>
      <c r="D12" s="93">
        <v>0.5</v>
      </c>
      <c r="E12" s="49">
        <f t="shared" si="9"/>
        <v>463</v>
      </c>
      <c r="F12" s="49">
        <f t="shared" si="0"/>
        <v>463</v>
      </c>
      <c r="G12" s="49">
        <f t="shared" si="10"/>
        <v>926</v>
      </c>
      <c r="H12" s="93">
        <v>0.7</v>
      </c>
      <c r="I12" s="49">
        <f t="shared" si="1"/>
        <v>648.19999999999993</v>
      </c>
      <c r="J12" s="49">
        <f t="shared" si="2"/>
        <v>277.80000000000007</v>
      </c>
      <c r="L12" s="10" t="s">
        <v>5</v>
      </c>
      <c r="M12" s="5">
        <f>'Dental Modeler'!$D20</f>
        <v>0</v>
      </c>
      <c r="N12" s="49">
        <f t="shared" si="46"/>
        <v>926</v>
      </c>
      <c r="O12" s="93">
        <v>0.5</v>
      </c>
      <c r="P12" s="49">
        <f t="shared" si="11"/>
        <v>0</v>
      </c>
      <c r="Q12" s="49">
        <f t="shared" si="12"/>
        <v>0</v>
      </c>
      <c r="R12" s="49">
        <f t="shared" si="13"/>
        <v>926</v>
      </c>
      <c r="S12" s="93">
        <v>0.7</v>
      </c>
      <c r="T12" s="49">
        <f t="shared" si="14"/>
        <v>0</v>
      </c>
      <c r="U12" s="49">
        <f t="shared" si="15"/>
        <v>0</v>
      </c>
      <c r="W12" s="10" t="s">
        <v>5</v>
      </c>
      <c r="X12" s="5">
        <f>'Dental Modeler'!$E20</f>
        <v>0</v>
      </c>
      <c r="Y12" s="49">
        <f t="shared" si="3"/>
        <v>926</v>
      </c>
      <c r="Z12" s="93">
        <v>0.5</v>
      </c>
      <c r="AA12" s="49">
        <f t="shared" si="16"/>
        <v>0</v>
      </c>
      <c r="AB12" s="49">
        <f t="shared" si="17"/>
        <v>0</v>
      </c>
      <c r="AC12" s="49">
        <f t="shared" si="18"/>
        <v>926</v>
      </c>
      <c r="AD12" s="93">
        <v>0.7</v>
      </c>
      <c r="AE12" s="49">
        <f t="shared" si="19"/>
        <v>0</v>
      </c>
      <c r="AF12" s="49">
        <f t="shared" si="20"/>
        <v>0</v>
      </c>
      <c r="AH12" s="10" t="s">
        <v>5</v>
      </c>
      <c r="AI12" s="5">
        <f>'Dental Modeler'!$F20</f>
        <v>0</v>
      </c>
      <c r="AJ12" s="49">
        <f t="shared" si="4"/>
        <v>926</v>
      </c>
      <c r="AK12" s="93">
        <v>0.5</v>
      </c>
      <c r="AL12" s="49">
        <f t="shared" si="21"/>
        <v>0</v>
      </c>
      <c r="AM12" s="49">
        <f t="shared" si="22"/>
        <v>0</v>
      </c>
      <c r="AN12" s="49">
        <f t="shared" si="23"/>
        <v>926</v>
      </c>
      <c r="AO12" s="93">
        <v>0.7</v>
      </c>
      <c r="AP12" s="49">
        <f t="shared" si="24"/>
        <v>0</v>
      </c>
      <c r="AQ12" s="49">
        <f t="shared" si="25"/>
        <v>0</v>
      </c>
      <c r="AS12" s="10" t="s">
        <v>5</v>
      </c>
      <c r="AT12" s="5">
        <f>'Dental Modeler'!$G20</f>
        <v>0</v>
      </c>
      <c r="AU12" s="49">
        <f t="shared" si="5"/>
        <v>926</v>
      </c>
      <c r="AV12" s="93">
        <v>0.5</v>
      </c>
      <c r="AW12" s="49">
        <f t="shared" si="26"/>
        <v>0</v>
      </c>
      <c r="AX12" s="49">
        <f t="shared" si="27"/>
        <v>0</v>
      </c>
      <c r="AY12" s="49">
        <f t="shared" si="28"/>
        <v>926</v>
      </c>
      <c r="AZ12" s="93">
        <v>0.7</v>
      </c>
      <c r="BA12" s="49">
        <f t="shared" si="29"/>
        <v>0</v>
      </c>
      <c r="BB12" s="49">
        <f t="shared" si="30"/>
        <v>0</v>
      </c>
      <c r="BD12" s="10" t="s">
        <v>5</v>
      </c>
      <c r="BE12" s="5">
        <f>'Dental Modeler'!$H20</f>
        <v>0</v>
      </c>
      <c r="BF12" s="49">
        <f t="shared" si="6"/>
        <v>926</v>
      </c>
      <c r="BG12" s="93">
        <v>0.5</v>
      </c>
      <c r="BH12" s="49">
        <f t="shared" si="31"/>
        <v>0</v>
      </c>
      <c r="BI12" s="49">
        <f t="shared" si="32"/>
        <v>0</v>
      </c>
      <c r="BJ12" s="49">
        <f t="shared" si="33"/>
        <v>926</v>
      </c>
      <c r="BK12" s="93">
        <v>0.7</v>
      </c>
      <c r="BL12" s="49">
        <f t="shared" si="34"/>
        <v>0</v>
      </c>
      <c r="BM12" s="49">
        <f t="shared" si="35"/>
        <v>0</v>
      </c>
      <c r="BO12" s="10" t="s">
        <v>5</v>
      </c>
      <c r="BP12" s="5">
        <f>'Dental Modeler'!$I20</f>
        <v>0</v>
      </c>
      <c r="BQ12" s="49">
        <f t="shared" si="7"/>
        <v>926</v>
      </c>
      <c r="BR12" s="93">
        <v>0.5</v>
      </c>
      <c r="BS12" s="49">
        <f t="shared" si="36"/>
        <v>0</v>
      </c>
      <c r="BT12" s="49">
        <f t="shared" si="37"/>
        <v>0</v>
      </c>
      <c r="BU12" s="49">
        <f t="shared" si="38"/>
        <v>926</v>
      </c>
      <c r="BV12" s="93">
        <v>0.7</v>
      </c>
      <c r="BW12" s="49">
        <f t="shared" si="39"/>
        <v>0</v>
      </c>
      <c r="BX12" s="49">
        <f t="shared" si="40"/>
        <v>0</v>
      </c>
      <c r="BZ12" s="10" t="s">
        <v>5</v>
      </c>
      <c r="CA12" s="5">
        <f>'Dental Modeler'!$J20</f>
        <v>0</v>
      </c>
      <c r="CB12" s="49">
        <f t="shared" si="8"/>
        <v>926</v>
      </c>
      <c r="CC12" s="93">
        <v>0.5</v>
      </c>
      <c r="CD12" s="49">
        <f t="shared" si="41"/>
        <v>0</v>
      </c>
      <c r="CE12" s="49">
        <f t="shared" si="42"/>
        <v>0</v>
      </c>
      <c r="CF12" s="49">
        <f t="shared" si="43"/>
        <v>926</v>
      </c>
      <c r="CG12" s="93">
        <v>0.7</v>
      </c>
      <c r="CH12" s="49">
        <f t="shared" si="44"/>
        <v>0</v>
      </c>
      <c r="CI12" s="49">
        <f t="shared" si="45"/>
        <v>0</v>
      </c>
    </row>
    <row r="13" spans="1:87" x14ac:dyDescent="0.25">
      <c r="A13" s="10" t="s">
        <v>7</v>
      </c>
      <c r="B13" s="5">
        <f>'Dental Modeler'!$C21</f>
        <v>0</v>
      </c>
      <c r="C13" s="49">
        <f>ROUND('References (Hide)'!F72,0)</f>
        <v>1715</v>
      </c>
      <c r="D13" s="93">
        <v>0.5</v>
      </c>
      <c r="E13" s="49">
        <f t="shared" si="9"/>
        <v>0</v>
      </c>
      <c r="F13" s="49">
        <f t="shared" si="0"/>
        <v>0</v>
      </c>
      <c r="G13" s="49">
        <f t="shared" si="10"/>
        <v>1715</v>
      </c>
      <c r="H13" s="93">
        <v>0.5</v>
      </c>
      <c r="I13" s="49">
        <f t="shared" si="1"/>
        <v>0</v>
      </c>
      <c r="J13" s="49">
        <f t="shared" si="2"/>
        <v>0</v>
      </c>
      <c r="L13" s="10" t="s">
        <v>7</v>
      </c>
      <c r="M13" s="5">
        <f>'Dental Modeler'!$D21</f>
        <v>0</v>
      </c>
      <c r="N13" s="49">
        <f t="shared" si="46"/>
        <v>1715</v>
      </c>
      <c r="O13" s="93">
        <v>0.5</v>
      </c>
      <c r="P13" s="49">
        <f t="shared" si="11"/>
        <v>0</v>
      </c>
      <c r="Q13" s="49">
        <f t="shared" si="12"/>
        <v>0</v>
      </c>
      <c r="R13" s="49">
        <f t="shared" si="13"/>
        <v>1715</v>
      </c>
      <c r="S13" s="93">
        <v>0.5</v>
      </c>
      <c r="T13" s="49">
        <f t="shared" si="14"/>
        <v>0</v>
      </c>
      <c r="U13" s="49">
        <f t="shared" si="15"/>
        <v>0</v>
      </c>
      <c r="W13" s="10" t="s">
        <v>7</v>
      </c>
      <c r="X13" s="5">
        <f>'Dental Modeler'!$E21</f>
        <v>0</v>
      </c>
      <c r="Y13" s="49">
        <f t="shared" si="3"/>
        <v>1715</v>
      </c>
      <c r="Z13" s="93">
        <v>0.5</v>
      </c>
      <c r="AA13" s="49">
        <f t="shared" si="16"/>
        <v>0</v>
      </c>
      <c r="AB13" s="49">
        <f t="shared" si="17"/>
        <v>0</v>
      </c>
      <c r="AC13" s="49">
        <f t="shared" si="18"/>
        <v>1715</v>
      </c>
      <c r="AD13" s="93">
        <v>0.5</v>
      </c>
      <c r="AE13" s="49">
        <f t="shared" si="19"/>
        <v>0</v>
      </c>
      <c r="AF13" s="49">
        <f t="shared" si="20"/>
        <v>0</v>
      </c>
      <c r="AH13" s="10" t="s">
        <v>7</v>
      </c>
      <c r="AI13" s="5">
        <f>'Dental Modeler'!$F21</f>
        <v>0</v>
      </c>
      <c r="AJ13" s="49">
        <f t="shared" si="4"/>
        <v>1715</v>
      </c>
      <c r="AK13" s="93">
        <v>0.5</v>
      </c>
      <c r="AL13" s="49">
        <f t="shared" si="21"/>
        <v>0</v>
      </c>
      <c r="AM13" s="49">
        <f t="shared" si="22"/>
        <v>0</v>
      </c>
      <c r="AN13" s="49">
        <f t="shared" si="23"/>
        <v>1715</v>
      </c>
      <c r="AO13" s="93">
        <v>0.5</v>
      </c>
      <c r="AP13" s="49">
        <f t="shared" si="24"/>
        <v>0</v>
      </c>
      <c r="AQ13" s="49">
        <f t="shared" si="25"/>
        <v>0</v>
      </c>
      <c r="AS13" s="10" t="s">
        <v>7</v>
      </c>
      <c r="AT13" s="5">
        <f>'Dental Modeler'!$G21</f>
        <v>0</v>
      </c>
      <c r="AU13" s="49">
        <f t="shared" si="5"/>
        <v>1715</v>
      </c>
      <c r="AV13" s="93">
        <v>0.5</v>
      </c>
      <c r="AW13" s="49">
        <f t="shared" si="26"/>
        <v>0</v>
      </c>
      <c r="AX13" s="49">
        <f t="shared" si="27"/>
        <v>0</v>
      </c>
      <c r="AY13" s="49">
        <f t="shared" si="28"/>
        <v>1715</v>
      </c>
      <c r="AZ13" s="93">
        <v>0.5</v>
      </c>
      <c r="BA13" s="49">
        <f t="shared" si="29"/>
        <v>0</v>
      </c>
      <c r="BB13" s="49">
        <f t="shared" si="30"/>
        <v>0</v>
      </c>
      <c r="BD13" s="10" t="s">
        <v>7</v>
      </c>
      <c r="BE13" s="5">
        <f>'Dental Modeler'!$H21</f>
        <v>0</v>
      </c>
      <c r="BF13" s="49">
        <f t="shared" si="6"/>
        <v>1715</v>
      </c>
      <c r="BG13" s="93">
        <v>0.5</v>
      </c>
      <c r="BH13" s="49">
        <f t="shared" si="31"/>
        <v>0</v>
      </c>
      <c r="BI13" s="49">
        <f t="shared" si="32"/>
        <v>0</v>
      </c>
      <c r="BJ13" s="49">
        <f t="shared" si="33"/>
        <v>1715</v>
      </c>
      <c r="BK13" s="93">
        <v>0.5</v>
      </c>
      <c r="BL13" s="49">
        <f t="shared" si="34"/>
        <v>0</v>
      </c>
      <c r="BM13" s="49">
        <f t="shared" si="35"/>
        <v>0</v>
      </c>
      <c r="BO13" s="10" t="s">
        <v>7</v>
      </c>
      <c r="BP13" s="5">
        <f>'Dental Modeler'!$I21</f>
        <v>0</v>
      </c>
      <c r="BQ13" s="49">
        <f t="shared" si="7"/>
        <v>1715</v>
      </c>
      <c r="BR13" s="93">
        <v>0.5</v>
      </c>
      <c r="BS13" s="49">
        <f t="shared" si="36"/>
        <v>0</v>
      </c>
      <c r="BT13" s="49">
        <f t="shared" si="37"/>
        <v>0</v>
      </c>
      <c r="BU13" s="49">
        <f t="shared" si="38"/>
        <v>1715</v>
      </c>
      <c r="BV13" s="93">
        <v>0.5</v>
      </c>
      <c r="BW13" s="49">
        <f t="shared" si="39"/>
        <v>0</v>
      </c>
      <c r="BX13" s="49">
        <f t="shared" si="40"/>
        <v>0</v>
      </c>
      <c r="BZ13" s="10" t="s">
        <v>7</v>
      </c>
      <c r="CA13" s="5">
        <f>'Dental Modeler'!$J21</f>
        <v>0</v>
      </c>
      <c r="CB13" s="49">
        <f t="shared" si="8"/>
        <v>1715</v>
      </c>
      <c r="CC13" s="93">
        <v>0.5</v>
      </c>
      <c r="CD13" s="49">
        <f t="shared" si="41"/>
        <v>0</v>
      </c>
      <c r="CE13" s="49">
        <f t="shared" si="42"/>
        <v>0</v>
      </c>
      <c r="CF13" s="49">
        <f t="shared" si="43"/>
        <v>1715</v>
      </c>
      <c r="CG13" s="93">
        <v>0.5</v>
      </c>
      <c r="CH13" s="49">
        <f t="shared" si="44"/>
        <v>0</v>
      </c>
      <c r="CI13" s="49">
        <f t="shared" si="45"/>
        <v>0</v>
      </c>
    </row>
    <row r="14" spans="1:87" x14ac:dyDescent="0.25">
      <c r="A14" s="10" t="s">
        <v>125</v>
      </c>
      <c r="B14" s="5">
        <f>IF('Dental Modeler'!$C23="Y",1,0)</f>
        <v>0</v>
      </c>
      <c r="C14" s="49">
        <f>ROUND('References (Hide)'!F73,0)</f>
        <v>5536</v>
      </c>
      <c r="D14" s="93">
        <f>IF(OR(B4="Adult - Low",B4="Adult - Average",B4="Adult - High"),0%,50%)</f>
        <v>0</v>
      </c>
      <c r="E14" s="50">
        <f t="shared" si="9"/>
        <v>0</v>
      </c>
      <c r="F14" s="50">
        <f t="shared" si="0"/>
        <v>0</v>
      </c>
      <c r="G14" s="49">
        <f t="shared" si="10"/>
        <v>5536</v>
      </c>
      <c r="H14" s="93">
        <v>0.5</v>
      </c>
      <c r="I14" s="50">
        <f t="shared" si="1"/>
        <v>0</v>
      </c>
      <c r="J14" s="50">
        <f t="shared" si="2"/>
        <v>0</v>
      </c>
      <c r="L14" s="10" t="s">
        <v>125</v>
      </c>
      <c r="M14" s="5">
        <f>IF('Dental Modeler'!$D23="Y",1,0)</f>
        <v>0</v>
      </c>
      <c r="N14" s="49">
        <f t="shared" si="46"/>
        <v>5536</v>
      </c>
      <c r="O14" s="93">
        <f>IF(OR(M4="Adult - Low",M4="Adult - Average",M4="Adult - High"),0%,50%)</f>
        <v>0</v>
      </c>
      <c r="P14" s="50">
        <f t="shared" si="11"/>
        <v>0</v>
      </c>
      <c r="Q14" s="50">
        <f t="shared" si="12"/>
        <v>0</v>
      </c>
      <c r="R14" s="49">
        <f t="shared" si="13"/>
        <v>5536</v>
      </c>
      <c r="S14" s="93">
        <v>0.5</v>
      </c>
      <c r="T14" s="50">
        <f t="shared" si="14"/>
        <v>0</v>
      </c>
      <c r="U14" s="50">
        <f t="shared" si="15"/>
        <v>0</v>
      </c>
      <c r="W14" s="10" t="s">
        <v>125</v>
      </c>
      <c r="X14" s="5">
        <f>IF('Dental Modeler'!$E23="Y",1,0)</f>
        <v>1</v>
      </c>
      <c r="Y14" s="49">
        <f t="shared" si="3"/>
        <v>5536</v>
      </c>
      <c r="Z14" s="93">
        <f>IF(OR(X4="Adult - Low",X4="Adult - Average",X4="Adult - High"),0%,50%)</f>
        <v>0.5</v>
      </c>
      <c r="AA14" s="50">
        <f t="shared" si="16"/>
        <v>2768</v>
      </c>
      <c r="AB14" s="50">
        <f t="shared" si="17"/>
        <v>2768</v>
      </c>
      <c r="AC14" s="49">
        <f t="shared" si="18"/>
        <v>5536</v>
      </c>
      <c r="AD14" s="93">
        <v>0.5</v>
      </c>
      <c r="AE14" s="50">
        <f t="shared" si="19"/>
        <v>2768</v>
      </c>
      <c r="AF14" s="50">
        <f t="shared" si="20"/>
        <v>2768</v>
      </c>
      <c r="AH14" s="10" t="s">
        <v>125</v>
      </c>
      <c r="AI14" s="5">
        <f>IF('Dental Modeler'!$F23="Y",1,0)</f>
        <v>1</v>
      </c>
      <c r="AJ14" s="49">
        <f t="shared" si="4"/>
        <v>5536</v>
      </c>
      <c r="AK14" s="93">
        <f>IF(OR(AI4="Adult - Low",AI4="Adult - Average",AI4="Adult - High"),0%,50%)</f>
        <v>0.5</v>
      </c>
      <c r="AL14" s="50">
        <f t="shared" si="21"/>
        <v>2768</v>
      </c>
      <c r="AM14" s="50">
        <f t="shared" si="22"/>
        <v>2768</v>
      </c>
      <c r="AN14" s="49">
        <f t="shared" si="23"/>
        <v>5536</v>
      </c>
      <c r="AO14" s="93">
        <v>0.5</v>
      </c>
      <c r="AP14" s="50">
        <f t="shared" si="24"/>
        <v>2768</v>
      </c>
      <c r="AQ14" s="50">
        <f t="shared" si="25"/>
        <v>2768</v>
      </c>
      <c r="AS14" s="10" t="s">
        <v>125</v>
      </c>
      <c r="AT14" s="5">
        <f>IF('Dental Modeler'!$G23="Y",1,0)</f>
        <v>0</v>
      </c>
      <c r="AU14" s="49">
        <f t="shared" si="5"/>
        <v>5536</v>
      </c>
      <c r="AV14" s="93">
        <f>IF(OR(AT4="Adult - Low",AT4="Adult - Average",AT4="Adult - High"),0%,50%)</f>
        <v>0.5</v>
      </c>
      <c r="AW14" s="50">
        <f t="shared" si="26"/>
        <v>0</v>
      </c>
      <c r="AX14" s="50">
        <f t="shared" si="27"/>
        <v>0</v>
      </c>
      <c r="AY14" s="49">
        <f t="shared" si="28"/>
        <v>5536</v>
      </c>
      <c r="AZ14" s="93">
        <v>0.5</v>
      </c>
      <c r="BA14" s="50">
        <f t="shared" si="29"/>
        <v>0</v>
      </c>
      <c r="BB14" s="50">
        <f t="shared" si="30"/>
        <v>0</v>
      </c>
      <c r="BD14" s="10" t="s">
        <v>125</v>
      </c>
      <c r="BE14" s="5">
        <f>IF('Dental Modeler'!$H23="Y",1,0)</f>
        <v>0</v>
      </c>
      <c r="BF14" s="49">
        <f t="shared" si="6"/>
        <v>5536</v>
      </c>
      <c r="BG14" s="93">
        <f>IF(OR(BE4="Adult - Low",BE4="Adult - Average",BE4="Adult - High"),0%,50%)</f>
        <v>0.5</v>
      </c>
      <c r="BH14" s="50">
        <f t="shared" si="31"/>
        <v>0</v>
      </c>
      <c r="BI14" s="50">
        <f t="shared" si="32"/>
        <v>0</v>
      </c>
      <c r="BJ14" s="49">
        <f t="shared" si="33"/>
        <v>5536</v>
      </c>
      <c r="BK14" s="93">
        <v>0.5</v>
      </c>
      <c r="BL14" s="50">
        <f t="shared" si="34"/>
        <v>0</v>
      </c>
      <c r="BM14" s="50">
        <f t="shared" si="35"/>
        <v>0</v>
      </c>
      <c r="BO14" s="10" t="s">
        <v>125</v>
      </c>
      <c r="BP14" s="5">
        <f>IF('Dental Modeler'!$I23="Y",1,0)</f>
        <v>0</v>
      </c>
      <c r="BQ14" s="49">
        <f t="shared" si="7"/>
        <v>5536</v>
      </c>
      <c r="BR14" s="93">
        <f>IF(OR(BP4="Adult - Low",BP4="Adult - Average",BP4="Adult - High"),0%,50%)</f>
        <v>0.5</v>
      </c>
      <c r="BS14" s="50">
        <f t="shared" si="36"/>
        <v>0</v>
      </c>
      <c r="BT14" s="50">
        <f t="shared" si="37"/>
        <v>0</v>
      </c>
      <c r="BU14" s="49">
        <f t="shared" si="38"/>
        <v>5536</v>
      </c>
      <c r="BV14" s="93">
        <v>0.5</v>
      </c>
      <c r="BW14" s="50">
        <f t="shared" si="39"/>
        <v>0</v>
      </c>
      <c r="BX14" s="50">
        <f t="shared" si="40"/>
        <v>0</v>
      </c>
      <c r="BZ14" s="10" t="s">
        <v>125</v>
      </c>
      <c r="CA14" s="5">
        <f>IF('Dental Modeler'!$J23="Y",1,0)</f>
        <v>0</v>
      </c>
      <c r="CB14" s="49">
        <f t="shared" si="8"/>
        <v>5536</v>
      </c>
      <c r="CC14" s="93">
        <f>IF(OR(CA4="Adult - Low",CA4="Adult - Average",CA4="Adult - High"),0%,50%)</f>
        <v>0.5</v>
      </c>
      <c r="CD14" s="50">
        <f t="shared" si="41"/>
        <v>0</v>
      </c>
      <c r="CE14" s="50">
        <f t="shared" si="42"/>
        <v>0</v>
      </c>
      <c r="CF14" s="49">
        <f t="shared" si="43"/>
        <v>5536</v>
      </c>
      <c r="CG14" s="93">
        <v>0.5</v>
      </c>
      <c r="CH14" s="50">
        <f t="shared" si="44"/>
        <v>0</v>
      </c>
      <c r="CI14" s="50">
        <f t="shared" si="45"/>
        <v>0</v>
      </c>
    </row>
    <row r="15" spans="1:87" x14ac:dyDescent="0.25">
      <c r="A15" s="10" t="s">
        <v>10</v>
      </c>
      <c r="B15" s="6"/>
      <c r="C15" s="6"/>
      <c r="D15" s="6"/>
      <c r="E15" s="49">
        <f>MIN($A$22,SUM($E$6:$E$13))</f>
        <v>600</v>
      </c>
      <c r="F15" s="49">
        <f>SUMPRODUCT($B$6:$B$13,$C$6:$C$13)-$E$15</f>
        <v>706</v>
      </c>
      <c r="G15" s="6"/>
      <c r="H15" s="6"/>
      <c r="I15" s="49">
        <f>MIN($A$24+SUM($I$6:$I$9),SUM($I$6:$I$13))</f>
        <v>975.39999999999986</v>
      </c>
      <c r="J15" s="49">
        <f>SUMPRODUCT($B$6:$B$13,$C$6:$C$13)-$I$15</f>
        <v>330.60000000000014</v>
      </c>
      <c r="L15" s="10" t="s">
        <v>10</v>
      </c>
      <c r="M15" s="6"/>
      <c r="N15" s="6"/>
      <c r="O15" s="6"/>
      <c r="P15" s="49">
        <f>MIN($A$22,SUM(P6:P13))</f>
        <v>102</v>
      </c>
      <c r="Q15" s="49">
        <f>SUMPRODUCT(M6:M13,N6:N13)-P15</f>
        <v>102</v>
      </c>
      <c r="R15" s="6"/>
      <c r="S15" s="6"/>
      <c r="T15" s="49">
        <f>MIN($A$24+SUM(T6:T9),SUM(T6:T13))</f>
        <v>204</v>
      </c>
      <c r="U15" s="49">
        <f>SUMPRODUCT(M6:M13,N6:N13) -T15</f>
        <v>0</v>
      </c>
      <c r="W15" s="10" t="s">
        <v>10</v>
      </c>
      <c r="X15" s="6"/>
      <c r="Y15" s="6"/>
      <c r="Z15" s="6"/>
      <c r="AA15" s="49">
        <f>MIN($A$22,SUM(AA6:AA13))</f>
        <v>316.5</v>
      </c>
      <c r="AB15" s="49">
        <f>SUMPRODUCT(X6:X13,Y6:Y13)-AA15</f>
        <v>316.5</v>
      </c>
      <c r="AC15" s="6"/>
      <c r="AD15" s="6"/>
      <c r="AE15" s="49">
        <f>MIN($A$24+SUM(AE6:AE9),SUM(AE6:AE13))</f>
        <v>527.4</v>
      </c>
      <c r="AF15" s="49">
        <f>SUMPRODUCT(X6:X13,Y6:Y13) -AE15</f>
        <v>105.60000000000002</v>
      </c>
      <c r="AH15" s="10" t="s">
        <v>10</v>
      </c>
      <c r="AI15" s="6"/>
      <c r="AJ15" s="6"/>
      <c r="AK15" s="6"/>
      <c r="AL15" s="49">
        <f>MIN($A$22,SUM(AL6:AL13))</f>
        <v>207.5</v>
      </c>
      <c r="AM15" s="49">
        <f>SUMPRODUCT(AI6:AI13,AJ6:AJ13)-AL15</f>
        <v>207.5</v>
      </c>
      <c r="AN15" s="6"/>
      <c r="AO15" s="6"/>
      <c r="AP15" s="49">
        <f>MIN($A$24+SUM(AP6:AP9),SUM(AP6:AP13))</f>
        <v>362.2</v>
      </c>
      <c r="AQ15" s="49">
        <f>SUMPRODUCT(AI6:AI13,AJ6:AJ13) -AP15</f>
        <v>52.800000000000011</v>
      </c>
      <c r="AS15" s="10" t="s">
        <v>10</v>
      </c>
      <c r="AT15" s="6"/>
      <c r="AU15" s="6"/>
      <c r="AV15" s="6"/>
      <c r="AW15" s="49">
        <f>MIN($A$22,SUM(AW6:AW13))</f>
        <v>207.5</v>
      </c>
      <c r="AX15" s="49">
        <f>SUMPRODUCT(AT6:AT13,AU6:AU13)-AW15</f>
        <v>207.5</v>
      </c>
      <c r="AY15" s="6"/>
      <c r="AZ15" s="6"/>
      <c r="BA15" s="49">
        <f>MIN($A$24+SUM(BA6:BA9),SUM(BA6:BA13))</f>
        <v>362.2</v>
      </c>
      <c r="BB15" s="49">
        <f>SUMPRODUCT(AT6:AT13,AU6:AU13) -BA15</f>
        <v>52.800000000000011</v>
      </c>
      <c r="BD15" s="10" t="s">
        <v>10</v>
      </c>
      <c r="BE15" s="6"/>
      <c r="BF15" s="6"/>
      <c r="BG15" s="6"/>
      <c r="BH15" s="49">
        <f>MIN($A$22,SUM(BH6:BH13))</f>
        <v>102</v>
      </c>
      <c r="BI15" s="49">
        <f>SUMPRODUCT(BE6:BE13,BF6:BF13)-BH15</f>
        <v>102</v>
      </c>
      <c r="BJ15" s="6"/>
      <c r="BK15" s="6"/>
      <c r="BL15" s="49">
        <f>MIN($A$24+SUM(BL6:BL9),SUM(BL6:BL13))</f>
        <v>204</v>
      </c>
      <c r="BM15" s="49">
        <f>SUMPRODUCT(BE6:BE13,BF6:BF13) -BL15</f>
        <v>0</v>
      </c>
      <c r="BO15" s="10" t="s">
        <v>10</v>
      </c>
      <c r="BP15" s="6"/>
      <c r="BQ15" s="6"/>
      <c r="BR15" s="6"/>
      <c r="BS15" s="49">
        <f>MIN($A$22,SUM(BS6:BS13))</f>
        <v>102</v>
      </c>
      <c r="BT15" s="49">
        <f>SUMPRODUCT(BP6:BP13,BQ6:BQ13)-BS15</f>
        <v>102</v>
      </c>
      <c r="BU15" s="6"/>
      <c r="BV15" s="6"/>
      <c r="BW15" s="49">
        <f>MIN($A$24+SUM(BW6:BW9),SUM(BW6:BW13))</f>
        <v>204</v>
      </c>
      <c r="BX15" s="49">
        <f>SUMPRODUCT(BP6:BP13,BQ6:BQ13) -BW15</f>
        <v>0</v>
      </c>
      <c r="BZ15" s="10" t="s">
        <v>10</v>
      </c>
      <c r="CA15" s="6"/>
      <c r="CB15" s="6"/>
      <c r="CC15" s="6"/>
      <c r="CD15" s="49">
        <f>MIN($A$22,SUM(CD6:CD13))</f>
        <v>102</v>
      </c>
      <c r="CE15" s="49">
        <f>SUMPRODUCT(CA6:CA13,CB6:CB13)-CD15</f>
        <v>102</v>
      </c>
      <c r="CF15" s="6"/>
      <c r="CG15" s="6"/>
      <c r="CH15" s="49">
        <f>MIN($A$24+SUM(CH6:CH9),SUM(CH6:CH13))</f>
        <v>204</v>
      </c>
      <c r="CI15" s="49">
        <f>SUMPRODUCT(CA6:CA13,CB6:CB13) -CH15</f>
        <v>0</v>
      </c>
    </row>
    <row r="16" spans="1:87" x14ac:dyDescent="0.25">
      <c r="A16" s="10"/>
      <c r="B16" s="6"/>
      <c r="C16" s="6"/>
      <c r="D16" s="6"/>
      <c r="E16" s="51"/>
      <c r="F16" s="51"/>
      <c r="G16" s="6"/>
      <c r="H16" s="6"/>
      <c r="I16" s="51"/>
      <c r="J16" s="51"/>
      <c r="L16" s="10"/>
      <c r="M16" s="6"/>
      <c r="N16" s="6"/>
      <c r="O16" s="6"/>
      <c r="P16" s="51"/>
      <c r="Q16" s="51"/>
      <c r="R16" s="6"/>
      <c r="S16" s="6"/>
      <c r="T16" s="51"/>
      <c r="U16" s="51"/>
      <c r="W16" s="10"/>
      <c r="X16" s="6"/>
      <c r="Y16" s="6"/>
      <c r="Z16" s="6"/>
      <c r="AA16" s="51"/>
      <c r="AB16" s="51"/>
      <c r="AC16" s="6"/>
      <c r="AD16" s="6"/>
      <c r="AE16" s="51"/>
      <c r="AF16" s="51"/>
      <c r="AH16" s="10"/>
      <c r="AI16" s="6"/>
      <c r="AJ16" s="6"/>
      <c r="AK16" s="6"/>
      <c r="AL16" s="51"/>
      <c r="AM16" s="51"/>
      <c r="AN16" s="6"/>
      <c r="AO16" s="6"/>
      <c r="AP16" s="51"/>
      <c r="AQ16" s="51"/>
      <c r="AS16" s="10"/>
      <c r="AT16" s="6"/>
      <c r="AU16" s="6"/>
      <c r="AV16" s="6"/>
      <c r="AW16" s="51"/>
      <c r="AX16" s="51"/>
      <c r="AY16" s="6"/>
      <c r="AZ16" s="6"/>
      <c r="BA16" s="51"/>
      <c r="BB16" s="51"/>
      <c r="BD16" s="10"/>
      <c r="BE16" s="6"/>
      <c r="BF16" s="6"/>
      <c r="BG16" s="6"/>
      <c r="BH16" s="51"/>
      <c r="BI16" s="51"/>
      <c r="BJ16" s="6"/>
      <c r="BK16" s="6"/>
      <c r="BL16" s="51"/>
      <c r="BM16" s="51"/>
      <c r="BO16" s="10"/>
      <c r="BP16" s="6"/>
      <c r="BQ16" s="6"/>
      <c r="BR16" s="6"/>
      <c r="BS16" s="51"/>
      <c r="BT16" s="51"/>
      <c r="BU16" s="6"/>
      <c r="BV16" s="6"/>
      <c r="BW16" s="51"/>
      <c r="BX16" s="51"/>
      <c r="BZ16" s="10"/>
      <c r="CA16" s="6"/>
      <c r="CB16" s="6"/>
      <c r="CC16" s="6"/>
      <c r="CD16" s="51"/>
      <c r="CE16" s="51"/>
      <c r="CF16" s="6"/>
      <c r="CG16" s="6"/>
      <c r="CH16" s="51"/>
      <c r="CI16" s="51"/>
    </row>
    <row r="17" spans="1:87" ht="15.75" thickBot="1" x14ac:dyDescent="0.3">
      <c r="A17" s="11" t="s">
        <v>89</v>
      </c>
      <c r="B17" s="6"/>
      <c r="C17" s="6"/>
      <c r="D17" s="25"/>
      <c r="E17" s="51"/>
      <c r="F17" s="52">
        <f>'Dental Modeler'!C28</f>
        <v>0</v>
      </c>
      <c r="G17" s="6"/>
      <c r="H17" s="6"/>
      <c r="I17" s="51"/>
      <c r="J17" s="52">
        <f>'Dental Modeler'!D28</f>
        <v>254.76</v>
      </c>
      <c r="L17" s="11" t="s">
        <v>89</v>
      </c>
      <c r="M17" s="6"/>
      <c r="N17" s="6"/>
      <c r="O17" s="25"/>
      <c r="P17" s="51"/>
      <c r="Q17" s="52">
        <f>$F17</f>
        <v>0</v>
      </c>
      <c r="R17" s="6"/>
      <c r="S17" s="6"/>
      <c r="T17" s="51"/>
      <c r="U17" s="52">
        <f>$J17</f>
        <v>254.76</v>
      </c>
      <c r="W17" s="11" t="s">
        <v>89</v>
      </c>
      <c r="X17" s="6"/>
      <c r="Y17" s="6"/>
      <c r="Z17" s="25"/>
      <c r="AA17" s="51"/>
      <c r="AB17" s="52">
        <f>$F17</f>
        <v>0</v>
      </c>
      <c r="AC17" s="6"/>
      <c r="AD17" s="6"/>
      <c r="AE17" s="51"/>
      <c r="AF17" s="52">
        <f>$J17</f>
        <v>254.76</v>
      </c>
      <c r="AH17" s="11" t="s">
        <v>89</v>
      </c>
      <c r="AI17" s="6"/>
      <c r="AJ17" s="6"/>
      <c r="AK17" s="25"/>
      <c r="AL17" s="51"/>
      <c r="AM17" s="52">
        <f>$F17</f>
        <v>0</v>
      </c>
      <c r="AN17" s="6"/>
      <c r="AO17" s="6"/>
      <c r="AP17" s="51"/>
      <c r="AQ17" s="52">
        <f>$J17</f>
        <v>254.76</v>
      </c>
      <c r="AS17" s="11" t="s">
        <v>89</v>
      </c>
      <c r="AT17" s="6"/>
      <c r="AU17" s="6"/>
      <c r="AV17" s="25"/>
      <c r="AW17" s="51"/>
      <c r="AX17" s="52">
        <f>$F17</f>
        <v>0</v>
      </c>
      <c r="AY17" s="6"/>
      <c r="AZ17" s="6"/>
      <c r="BA17" s="51"/>
      <c r="BB17" s="52">
        <f>$J17</f>
        <v>254.76</v>
      </c>
      <c r="BD17" s="11" t="s">
        <v>89</v>
      </c>
      <c r="BE17" s="6"/>
      <c r="BF17" s="6"/>
      <c r="BG17" s="25"/>
      <c r="BH17" s="51"/>
      <c r="BI17" s="52">
        <f>$F17</f>
        <v>0</v>
      </c>
      <c r="BJ17" s="6"/>
      <c r="BK17" s="6"/>
      <c r="BL17" s="51"/>
      <c r="BM17" s="52">
        <f>$J17</f>
        <v>254.76</v>
      </c>
      <c r="BO17" s="11" t="s">
        <v>89</v>
      </c>
      <c r="BP17" s="6"/>
      <c r="BQ17" s="6"/>
      <c r="BR17" s="25"/>
      <c r="BS17" s="51"/>
      <c r="BT17" s="52">
        <f>$F17</f>
        <v>0</v>
      </c>
      <c r="BU17" s="6"/>
      <c r="BV17" s="6"/>
      <c r="BW17" s="51"/>
      <c r="BX17" s="52">
        <f>$J17</f>
        <v>254.76</v>
      </c>
      <c r="BZ17" s="11" t="s">
        <v>89</v>
      </c>
      <c r="CA17" s="6"/>
      <c r="CB17" s="6"/>
      <c r="CC17" s="25"/>
      <c r="CD17" s="51"/>
      <c r="CE17" s="52">
        <f>$F17</f>
        <v>0</v>
      </c>
      <c r="CF17" s="6"/>
      <c r="CG17" s="6"/>
      <c r="CH17" s="51"/>
      <c r="CI17" s="52">
        <f>$J17</f>
        <v>254.76</v>
      </c>
    </row>
    <row r="18" spans="1:87" ht="15.75" thickTop="1" x14ac:dyDescent="0.25">
      <c r="A18" s="12" t="s">
        <v>11</v>
      </c>
      <c r="B18" s="7"/>
      <c r="C18" s="7"/>
      <c r="D18" s="7"/>
      <c r="E18" s="53"/>
      <c r="F18" s="53">
        <f>$F$17+$F$15</f>
        <v>706</v>
      </c>
      <c r="G18" s="7"/>
      <c r="H18" s="7"/>
      <c r="I18" s="53"/>
      <c r="J18" s="53">
        <f>$J$15+$J$17</f>
        <v>585.36000000000013</v>
      </c>
      <c r="L18" s="12" t="s">
        <v>11</v>
      </c>
      <c r="M18" s="7"/>
      <c r="N18" s="7"/>
      <c r="O18" s="7"/>
      <c r="P18" s="53"/>
      <c r="Q18" s="53">
        <f>Q15+Q17</f>
        <v>102</v>
      </c>
      <c r="R18" s="7"/>
      <c r="S18" s="7"/>
      <c r="T18" s="53"/>
      <c r="U18" s="53">
        <f>U15+U17</f>
        <v>254.76</v>
      </c>
      <c r="W18" s="12" t="s">
        <v>11</v>
      </c>
      <c r="X18" s="7"/>
      <c r="Y18" s="7"/>
      <c r="Z18" s="7"/>
      <c r="AA18" s="53"/>
      <c r="AB18" s="53">
        <f>AB15+AB17</f>
        <v>316.5</v>
      </c>
      <c r="AC18" s="7"/>
      <c r="AD18" s="7"/>
      <c r="AE18" s="53"/>
      <c r="AF18" s="53">
        <f>AF15+AF17</f>
        <v>360.36</v>
      </c>
      <c r="AH18" s="12" t="s">
        <v>11</v>
      </c>
      <c r="AI18" s="7"/>
      <c r="AJ18" s="7"/>
      <c r="AK18" s="7"/>
      <c r="AL18" s="53"/>
      <c r="AM18" s="53">
        <f>AM15+AM17</f>
        <v>207.5</v>
      </c>
      <c r="AN18" s="7"/>
      <c r="AO18" s="7"/>
      <c r="AP18" s="53"/>
      <c r="AQ18" s="53">
        <f>AQ15+AQ17</f>
        <v>307.56</v>
      </c>
      <c r="AS18" s="12" t="s">
        <v>11</v>
      </c>
      <c r="AT18" s="7"/>
      <c r="AU18" s="7"/>
      <c r="AV18" s="7"/>
      <c r="AW18" s="53"/>
      <c r="AX18" s="53">
        <f>AX15+AX17</f>
        <v>207.5</v>
      </c>
      <c r="AY18" s="7"/>
      <c r="AZ18" s="7"/>
      <c r="BA18" s="53"/>
      <c r="BB18" s="53">
        <f>BB15+BB17</f>
        <v>307.56</v>
      </c>
      <c r="BD18" s="12" t="s">
        <v>11</v>
      </c>
      <c r="BE18" s="7"/>
      <c r="BF18" s="7"/>
      <c r="BG18" s="7"/>
      <c r="BH18" s="53"/>
      <c r="BI18" s="53">
        <f>BI15+BI17</f>
        <v>102</v>
      </c>
      <c r="BJ18" s="7"/>
      <c r="BK18" s="7"/>
      <c r="BL18" s="53"/>
      <c r="BM18" s="53">
        <f>BM15+BM17</f>
        <v>254.76</v>
      </c>
      <c r="BO18" s="12" t="s">
        <v>11</v>
      </c>
      <c r="BP18" s="7"/>
      <c r="BQ18" s="7"/>
      <c r="BR18" s="7"/>
      <c r="BS18" s="53"/>
      <c r="BT18" s="53">
        <f>BT15+BT17</f>
        <v>102</v>
      </c>
      <c r="BU18" s="7"/>
      <c r="BV18" s="7"/>
      <c r="BW18" s="53"/>
      <c r="BX18" s="53">
        <f>BX15+BX17</f>
        <v>254.76</v>
      </c>
      <c r="BZ18" s="12" t="s">
        <v>11</v>
      </c>
      <c r="CA18" s="7"/>
      <c r="CB18" s="7"/>
      <c r="CC18" s="7"/>
      <c r="CD18" s="53"/>
      <c r="CE18" s="53">
        <f>CE15+CE17</f>
        <v>102</v>
      </c>
      <c r="CF18" s="7"/>
      <c r="CG18" s="7"/>
      <c r="CH18" s="53"/>
      <c r="CI18" s="53">
        <f>CI15+CI17</f>
        <v>254.76</v>
      </c>
    </row>
    <row r="20" spans="1:87" x14ac:dyDescent="0.25">
      <c r="C20" s="22"/>
      <c r="D20" s="137" t="s">
        <v>91</v>
      </c>
      <c r="E20" s="138"/>
      <c r="F20" s="139"/>
      <c r="G20" s="137" t="s">
        <v>92</v>
      </c>
      <c r="H20" s="138"/>
      <c r="I20" s="138"/>
      <c r="J20" s="139"/>
      <c r="N20" s="22"/>
      <c r="O20" s="137" t="s">
        <v>91</v>
      </c>
      <c r="P20" s="138"/>
      <c r="Q20" s="139"/>
      <c r="R20" s="137" t="s">
        <v>92</v>
      </c>
      <c r="S20" s="138"/>
      <c r="T20" s="138"/>
      <c r="U20" s="139"/>
      <c r="Y20" s="22"/>
      <c r="Z20" s="137" t="s">
        <v>91</v>
      </c>
      <c r="AA20" s="138"/>
      <c r="AB20" s="139"/>
      <c r="AC20" s="137" t="s">
        <v>92</v>
      </c>
      <c r="AD20" s="138"/>
      <c r="AE20" s="138"/>
      <c r="AF20" s="139"/>
      <c r="AJ20" s="22"/>
      <c r="AK20" s="137" t="s">
        <v>91</v>
      </c>
      <c r="AL20" s="138"/>
      <c r="AM20" s="139"/>
      <c r="AN20" s="137" t="s">
        <v>92</v>
      </c>
      <c r="AO20" s="138"/>
      <c r="AP20" s="138"/>
      <c r="AQ20" s="139"/>
      <c r="AU20" s="22"/>
      <c r="AV20" s="137" t="s">
        <v>91</v>
      </c>
      <c r="AW20" s="138"/>
      <c r="AX20" s="139"/>
      <c r="AY20" s="137" t="s">
        <v>92</v>
      </c>
      <c r="AZ20" s="138"/>
      <c r="BA20" s="138"/>
      <c r="BB20" s="139"/>
      <c r="BF20" s="22"/>
      <c r="BG20" s="137" t="s">
        <v>91</v>
      </c>
      <c r="BH20" s="138"/>
      <c r="BI20" s="139"/>
      <c r="BJ20" s="137" t="s">
        <v>92</v>
      </c>
      <c r="BK20" s="138"/>
      <c r="BL20" s="138"/>
      <c r="BM20" s="139"/>
      <c r="BQ20" s="22"/>
      <c r="BR20" s="137" t="s">
        <v>91</v>
      </c>
      <c r="BS20" s="138"/>
      <c r="BT20" s="139"/>
      <c r="BU20" s="137" t="s">
        <v>92</v>
      </c>
      <c r="BV20" s="138"/>
      <c r="BW20" s="138"/>
      <c r="BX20" s="139"/>
      <c r="CB20" s="22"/>
      <c r="CC20" s="137" t="s">
        <v>91</v>
      </c>
      <c r="CD20" s="138"/>
      <c r="CE20" s="139"/>
      <c r="CF20" s="137" t="s">
        <v>92</v>
      </c>
      <c r="CG20" s="138"/>
      <c r="CH20" s="138"/>
      <c r="CI20" s="139"/>
    </row>
    <row r="21" spans="1:87" ht="30" x14ac:dyDescent="0.25">
      <c r="A21" s="36" t="s">
        <v>129</v>
      </c>
      <c r="C21" s="23" t="s">
        <v>90</v>
      </c>
      <c r="D21" s="19" t="s">
        <v>53</v>
      </c>
      <c r="E21" s="19"/>
      <c r="F21" s="20" t="s">
        <v>54</v>
      </c>
      <c r="G21" s="19"/>
      <c r="H21" s="19" t="s">
        <v>53</v>
      </c>
      <c r="I21" s="19"/>
      <c r="J21" s="20" t="s">
        <v>54</v>
      </c>
      <c r="N21" s="23" t="s">
        <v>90</v>
      </c>
      <c r="O21" s="19" t="s">
        <v>53</v>
      </c>
      <c r="P21" s="19"/>
      <c r="Q21" s="20" t="s">
        <v>54</v>
      </c>
      <c r="R21" s="19"/>
      <c r="S21" s="19" t="s">
        <v>53</v>
      </c>
      <c r="T21" s="19"/>
      <c r="U21" s="20" t="s">
        <v>54</v>
      </c>
      <c r="Y21" s="23" t="s">
        <v>90</v>
      </c>
      <c r="Z21" s="19" t="s">
        <v>53</v>
      </c>
      <c r="AA21" s="19"/>
      <c r="AB21" s="20" t="s">
        <v>54</v>
      </c>
      <c r="AC21" s="19"/>
      <c r="AD21" s="19" t="s">
        <v>53</v>
      </c>
      <c r="AE21" s="19"/>
      <c r="AF21" s="20" t="s">
        <v>54</v>
      </c>
      <c r="AJ21" s="23" t="s">
        <v>90</v>
      </c>
      <c r="AK21" s="19" t="s">
        <v>53</v>
      </c>
      <c r="AL21" s="19"/>
      <c r="AM21" s="20" t="s">
        <v>54</v>
      </c>
      <c r="AN21" s="19"/>
      <c r="AO21" s="19" t="s">
        <v>53</v>
      </c>
      <c r="AP21" s="19"/>
      <c r="AQ21" s="20" t="s">
        <v>54</v>
      </c>
      <c r="AU21" s="23" t="s">
        <v>90</v>
      </c>
      <c r="AV21" s="19" t="s">
        <v>53</v>
      </c>
      <c r="AW21" s="19"/>
      <c r="AX21" s="20" t="s">
        <v>54</v>
      </c>
      <c r="AY21" s="19"/>
      <c r="AZ21" s="19" t="s">
        <v>53</v>
      </c>
      <c r="BA21" s="19"/>
      <c r="BB21" s="20" t="s">
        <v>54</v>
      </c>
      <c r="BF21" s="23" t="s">
        <v>90</v>
      </c>
      <c r="BG21" s="19" t="s">
        <v>53</v>
      </c>
      <c r="BH21" s="19"/>
      <c r="BI21" s="20" t="s">
        <v>54</v>
      </c>
      <c r="BJ21" s="19"/>
      <c r="BK21" s="19" t="s">
        <v>53</v>
      </c>
      <c r="BL21" s="19"/>
      <c r="BM21" s="20" t="s">
        <v>54</v>
      </c>
      <c r="BQ21" s="23" t="s">
        <v>90</v>
      </c>
      <c r="BR21" s="19" t="s">
        <v>53</v>
      </c>
      <c r="BS21" s="19"/>
      <c r="BT21" s="20" t="s">
        <v>54</v>
      </c>
      <c r="BU21" s="19"/>
      <c r="BV21" s="19" t="s">
        <v>53</v>
      </c>
      <c r="BW21" s="19"/>
      <c r="BX21" s="20" t="s">
        <v>54</v>
      </c>
      <c r="CB21" s="23" t="s">
        <v>90</v>
      </c>
      <c r="CC21" s="19" t="s">
        <v>53</v>
      </c>
      <c r="CD21" s="19"/>
      <c r="CE21" s="20" t="s">
        <v>54</v>
      </c>
      <c r="CF21" s="19"/>
      <c r="CG21" s="19" t="s">
        <v>53</v>
      </c>
      <c r="CH21" s="19"/>
      <c r="CI21" s="20" t="s">
        <v>54</v>
      </c>
    </row>
    <row r="22" spans="1:87" x14ac:dyDescent="0.25">
      <c r="A22" s="46">
        <v>600</v>
      </c>
      <c r="C22" s="24"/>
      <c r="D22" s="47">
        <f>SUMPRODUCT($B$6:$B$13,$C$6:$C$13)</f>
        <v>1306</v>
      </c>
      <c r="E22" s="21"/>
      <c r="F22" s="48">
        <f>$D$22-$E$15</f>
        <v>706</v>
      </c>
      <c r="G22" s="21"/>
      <c r="H22" s="54">
        <f>SUMPRODUCT($B$6:$B$13,$C$6:$C$13)</f>
        <v>1306</v>
      </c>
      <c r="I22" s="21"/>
      <c r="J22" s="48">
        <f>$H$22-$I$15</f>
        <v>330.60000000000014</v>
      </c>
      <c r="N22" s="24"/>
      <c r="O22" s="47">
        <f>SUMPRODUCT(M6:M13,N6:N13)</f>
        <v>204</v>
      </c>
      <c r="P22" s="21"/>
      <c r="Q22" s="48">
        <f>O22-P15</f>
        <v>102</v>
      </c>
      <c r="R22" s="21"/>
      <c r="S22" s="54">
        <f>SUMPRODUCT(M6:M13,N6:N13)</f>
        <v>204</v>
      </c>
      <c r="T22" s="21"/>
      <c r="U22" s="48">
        <f>S22-T15</f>
        <v>0</v>
      </c>
      <c r="Y22" s="24"/>
      <c r="Z22" s="47">
        <f>SUMPRODUCT(X6:X13,Y6:Y13)</f>
        <v>633</v>
      </c>
      <c r="AA22" s="21"/>
      <c r="AB22" s="48">
        <f>Z22-AA15</f>
        <v>316.5</v>
      </c>
      <c r="AC22" s="21"/>
      <c r="AD22" s="54">
        <f>SUMPRODUCT(X6:X13,Y6:Y13)</f>
        <v>633</v>
      </c>
      <c r="AE22" s="21"/>
      <c r="AF22" s="48">
        <f>AD22-AE15</f>
        <v>105.60000000000002</v>
      </c>
      <c r="AJ22" s="24"/>
      <c r="AK22" s="47">
        <f>SUMPRODUCT(AI6:AI13,AJ6:AJ13)</f>
        <v>415</v>
      </c>
      <c r="AL22" s="21"/>
      <c r="AM22" s="48">
        <f>AK22-AL15</f>
        <v>207.5</v>
      </c>
      <c r="AN22" s="21"/>
      <c r="AO22" s="54">
        <f>SUMPRODUCT(AI6:AI13,AJ6:AJ13)</f>
        <v>415</v>
      </c>
      <c r="AP22" s="21"/>
      <c r="AQ22" s="48">
        <f>AO22-AP15</f>
        <v>52.800000000000011</v>
      </c>
      <c r="AU22" s="24"/>
      <c r="AV22" s="47">
        <f>SUMPRODUCT(AT6:AT13,AU6:AU13)</f>
        <v>415</v>
      </c>
      <c r="AW22" s="21"/>
      <c r="AX22" s="48">
        <f>AV22-AW15</f>
        <v>207.5</v>
      </c>
      <c r="AY22" s="21"/>
      <c r="AZ22" s="54">
        <f>SUMPRODUCT(AT6:AT13,AU6:AU13)</f>
        <v>415</v>
      </c>
      <c r="BA22" s="21"/>
      <c r="BB22" s="48">
        <f>AZ22-BA15</f>
        <v>52.800000000000011</v>
      </c>
      <c r="BF22" s="24"/>
      <c r="BG22" s="47">
        <f>SUMPRODUCT(BE6:BE13,BF6:BF13)</f>
        <v>204</v>
      </c>
      <c r="BH22" s="21"/>
      <c r="BI22" s="48">
        <f>BG22-BH15</f>
        <v>102</v>
      </c>
      <c r="BJ22" s="21"/>
      <c r="BK22" s="54">
        <f>SUMPRODUCT(BE6:BE13,BF6:BF13)</f>
        <v>204</v>
      </c>
      <c r="BL22" s="21"/>
      <c r="BM22" s="48">
        <f>BK22-BL15</f>
        <v>0</v>
      </c>
      <c r="BQ22" s="24"/>
      <c r="BR22" s="47">
        <f>SUMPRODUCT(BP6:BP13,BQ6:BQ13)</f>
        <v>204</v>
      </c>
      <c r="BS22" s="21"/>
      <c r="BT22" s="48">
        <f>BR22-BS15</f>
        <v>102</v>
      </c>
      <c r="BU22" s="21"/>
      <c r="BV22" s="54">
        <f>SUMPRODUCT(BP6:BP13,BQ6:BQ13)</f>
        <v>204</v>
      </c>
      <c r="BW22" s="21"/>
      <c r="BX22" s="48">
        <f>BV22-BW15</f>
        <v>0</v>
      </c>
      <c r="CB22" s="24"/>
      <c r="CC22" s="47">
        <f>SUMPRODUCT(CA6:CA13,CB6:CB13)</f>
        <v>204</v>
      </c>
      <c r="CD22" s="21"/>
      <c r="CE22" s="48">
        <f>CC22-CD15</f>
        <v>102</v>
      </c>
      <c r="CF22" s="21"/>
      <c r="CG22" s="54">
        <f>SUMPRODUCT(CA6:CA13,CB6:CB13)</f>
        <v>204</v>
      </c>
      <c r="CH22" s="21"/>
      <c r="CI22" s="48">
        <f>CG22-CH15</f>
        <v>0</v>
      </c>
    </row>
    <row r="23" spans="1:87" x14ac:dyDescent="0.25">
      <c r="A23" s="37" t="s">
        <v>130</v>
      </c>
    </row>
    <row r="24" spans="1:87" x14ac:dyDescent="0.25">
      <c r="A24" s="46">
        <v>2000</v>
      </c>
    </row>
    <row r="25" spans="1:87" ht="15" customHeight="1" x14ac:dyDescent="0.25">
      <c r="C25" s="22"/>
      <c r="D25" s="137" t="s">
        <v>91</v>
      </c>
      <c r="E25" s="138"/>
      <c r="F25" s="139"/>
      <c r="G25" s="137" t="s">
        <v>92</v>
      </c>
      <c r="H25" s="138"/>
      <c r="I25" s="138"/>
      <c r="J25" s="139"/>
      <c r="N25" s="22"/>
      <c r="O25" s="137" t="s">
        <v>91</v>
      </c>
      <c r="P25" s="138"/>
      <c r="Q25" s="139"/>
      <c r="R25" s="137" t="s">
        <v>92</v>
      </c>
      <c r="S25" s="138"/>
      <c r="T25" s="138"/>
      <c r="U25" s="139"/>
      <c r="Y25" s="22"/>
      <c r="Z25" s="137" t="s">
        <v>91</v>
      </c>
      <c r="AA25" s="138"/>
      <c r="AB25" s="139"/>
      <c r="AC25" s="137" t="s">
        <v>92</v>
      </c>
      <c r="AD25" s="138"/>
      <c r="AE25" s="138"/>
      <c r="AF25" s="139"/>
      <c r="AJ25" s="22"/>
      <c r="AK25" s="137" t="s">
        <v>91</v>
      </c>
      <c r="AL25" s="138"/>
      <c r="AM25" s="139"/>
      <c r="AN25" s="137" t="s">
        <v>92</v>
      </c>
      <c r="AO25" s="138"/>
      <c r="AP25" s="138"/>
      <c r="AQ25" s="139"/>
      <c r="AU25" s="22"/>
      <c r="AV25" s="137" t="s">
        <v>91</v>
      </c>
      <c r="AW25" s="138"/>
      <c r="AX25" s="139"/>
      <c r="AY25" s="137" t="s">
        <v>92</v>
      </c>
      <c r="AZ25" s="138"/>
      <c r="BA25" s="138"/>
      <c r="BB25" s="139"/>
      <c r="BF25" s="22"/>
      <c r="BG25" s="137" t="s">
        <v>91</v>
      </c>
      <c r="BH25" s="138"/>
      <c r="BI25" s="139"/>
      <c r="BJ25" s="137" t="s">
        <v>92</v>
      </c>
      <c r="BK25" s="138"/>
      <c r="BL25" s="138"/>
      <c r="BM25" s="139"/>
      <c r="BQ25" s="22"/>
      <c r="BR25" s="137" t="s">
        <v>91</v>
      </c>
      <c r="BS25" s="138"/>
      <c r="BT25" s="139"/>
      <c r="BU25" s="137" t="s">
        <v>92</v>
      </c>
      <c r="BV25" s="138"/>
      <c r="BW25" s="138"/>
      <c r="BX25" s="139"/>
      <c r="CB25" s="22"/>
      <c r="CC25" s="137" t="s">
        <v>91</v>
      </c>
      <c r="CD25" s="138"/>
      <c r="CE25" s="139"/>
      <c r="CF25" s="137" t="s">
        <v>92</v>
      </c>
      <c r="CG25" s="138"/>
      <c r="CH25" s="138"/>
      <c r="CI25" s="139"/>
    </row>
    <row r="26" spans="1:87" ht="28.9" customHeight="1" x14ac:dyDescent="0.25">
      <c r="C26" s="23" t="s">
        <v>110</v>
      </c>
      <c r="D26" s="18" t="s">
        <v>53</v>
      </c>
      <c r="E26" s="19"/>
      <c r="F26" s="20" t="s">
        <v>54</v>
      </c>
      <c r="G26" s="19"/>
      <c r="H26" s="19" t="s">
        <v>53</v>
      </c>
      <c r="I26" s="19"/>
      <c r="J26" s="20" t="s">
        <v>54</v>
      </c>
      <c r="N26" s="23" t="s">
        <v>110</v>
      </c>
      <c r="O26" s="18" t="s">
        <v>53</v>
      </c>
      <c r="P26" s="19"/>
      <c r="Q26" s="20" t="s">
        <v>54</v>
      </c>
      <c r="R26" s="19"/>
      <c r="S26" s="19" t="s">
        <v>53</v>
      </c>
      <c r="T26" s="19"/>
      <c r="U26" s="20" t="s">
        <v>54</v>
      </c>
      <c r="Y26" s="23" t="s">
        <v>110</v>
      </c>
      <c r="Z26" s="18" t="s">
        <v>53</v>
      </c>
      <c r="AA26" s="19"/>
      <c r="AB26" s="20" t="s">
        <v>54</v>
      </c>
      <c r="AC26" s="19"/>
      <c r="AD26" s="19" t="s">
        <v>53</v>
      </c>
      <c r="AE26" s="19"/>
      <c r="AF26" s="20" t="s">
        <v>54</v>
      </c>
      <c r="AJ26" s="23" t="s">
        <v>110</v>
      </c>
      <c r="AK26" s="18" t="s">
        <v>53</v>
      </c>
      <c r="AL26" s="19"/>
      <c r="AM26" s="20" t="s">
        <v>54</v>
      </c>
      <c r="AN26" s="19"/>
      <c r="AO26" s="19" t="s">
        <v>53</v>
      </c>
      <c r="AP26" s="19"/>
      <c r="AQ26" s="20" t="s">
        <v>54</v>
      </c>
      <c r="AU26" s="23" t="s">
        <v>110</v>
      </c>
      <c r="AV26" s="18" t="s">
        <v>53</v>
      </c>
      <c r="AW26" s="19"/>
      <c r="AX26" s="20" t="s">
        <v>54</v>
      </c>
      <c r="AY26" s="19"/>
      <c r="AZ26" s="19" t="s">
        <v>53</v>
      </c>
      <c r="BA26" s="19"/>
      <c r="BB26" s="20" t="s">
        <v>54</v>
      </c>
      <c r="BF26" s="23" t="s">
        <v>110</v>
      </c>
      <c r="BG26" s="18" t="s">
        <v>53</v>
      </c>
      <c r="BH26" s="19"/>
      <c r="BI26" s="20" t="s">
        <v>54</v>
      </c>
      <c r="BJ26" s="19"/>
      <c r="BK26" s="19" t="s">
        <v>53</v>
      </c>
      <c r="BL26" s="19"/>
      <c r="BM26" s="20" t="s">
        <v>54</v>
      </c>
      <c r="BQ26" s="23" t="s">
        <v>110</v>
      </c>
      <c r="BR26" s="18" t="s">
        <v>53</v>
      </c>
      <c r="BS26" s="19"/>
      <c r="BT26" s="20" t="s">
        <v>54</v>
      </c>
      <c r="BU26" s="19"/>
      <c r="BV26" s="19" t="s">
        <v>53</v>
      </c>
      <c r="BW26" s="19"/>
      <c r="BX26" s="20" t="s">
        <v>54</v>
      </c>
      <c r="CB26" s="23" t="s">
        <v>110</v>
      </c>
      <c r="CC26" s="18" t="s">
        <v>53</v>
      </c>
      <c r="CD26" s="19"/>
      <c r="CE26" s="20" t="s">
        <v>54</v>
      </c>
      <c r="CF26" s="19"/>
      <c r="CG26" s="19" t="s">
        <v>53</v>
      </c>
      <c r="CH26" s="19"/>
      <c r="CI26" s="20" t="s">
        <v>54</v>
      </c>
    </row>
    <row r="27" spans="1:87" x14ac:dyDescent="0.25">
      <c r="C27" s="24"/>
      <c r="D27" s="47">
        <f>$B$14*$C$14</f>
        <v>0</v>
      </c>
      <c r="E27" s="21"/>
      <c r="F27" s="48">
        <f>IF(D14=0%,D27,MAX(D27-$A$22,0))</f>
        <v>0</v>
      </c>
      <c r="G27" s="21"/>
      <c r="H27" s="54">
        <f>$B$14*$C$14</f>
        <v>0</v>
      </c>
      <c r="I27" s="21"/>
      <c r="J27" s="48">
        <f>MAX($H$27-$A$24,0)</f>
        <v>0</v>
      </c>
      <c r="N27" s="24"/>
      <c r="O27" s="47">
        <f>M14*N14</f>
        <v>0</v>
      </c>
      <c r="P27" s="21"/>
      <c r="Q27" s="48">
        <f>IF(O14=0%,O27,MAX(O27-$A$22,0))</f>
        <v>0</v>
      </c>
      <c r="R27" s="21"/>
      <c r="S27" s="54">
        <f>M14*N14</f>
        <v>0</v>
      </c>
      <c r="T27" s="21"/>
      <c r="U27" s="48">
        <f>MAX(S27-$A$24,0)</f>
        <v>0</v>
      </c>
      <c r="Y27" s="24"/>
      <c r="Z27" s="47">
        <f>X14*Y14</f>
        <v>5536</v>
      </c>
      <c r="AA27" s="21"/>
      <c r="AB27" s="48">
        <f>MAX(Z27-$A$22,0)</f>
        <v>4936</v>
      </c>
      <c r="AC27" s="21"/>
      <c r="AD27" s="54">
        <f>X14*Y14</f>
        <v>5536</v>
      </c>
      <c r="AE27" s="21"/>
      <c r="AF27" s="48">
        <f>MAX(AD27-$A$24,0)</f>
        <v>3536</v>
      </c>
      <c r="AJ27" s="24"/>
      <c r="AK27" s="47">
        <f>AI14*AJ14</f>
        <v>5536</v>
      </c>
      <c r="AL27" s="21"/>
      <c r="AM27" s="48">
        <f>MAX(AK27-$A$22,0)</f>
        <v>4936</v>
      </c>
      <c r="AN27" s="21"/>
      <c r="AO27" s="54">
        <f>AI14*AJ14</f>
        <v>5536</v>
      </c>
      <c r="AP27" s="21"/>
      <c r="AQ27" s="48">
        <f>MAX(AO27-$A$24,0)</f>
        <v>3536</v>
      </c>
      <c r="AU27" s="24"/>
      <c r="AV27" s="47">
        <f>AT14*AU14</f>
        <v>0</v>
      </c>
      <c r="AW27" s="21"/>
      <c r="AX27" s="48">
        <f>MAX(AV27-$A$22,0)</f>
        <v>0</v>
      </c>
      <c r="AY27" s="21"/>
      <c r="AZ27" s="54">
        <f>AT14*AU14</f>
        <v>0</v>
      </c>
      <c r="BA27" s="21"/>
      <c r="BB27" s="48">
        <f>MAX(AZ27-$A$24,0)</f>
        <v>0</v>
      </c>
      <c r="BF27" s="24"/>
      <c r="BG27" s="47">
        <f>BE14*BF14</f>
        <v>0</v>
      </c>
      <c r="BH27" s="21"/>
      <c r="BI27" s="48">
        <f>MAX(BG27-$A$22,0)</f>
        <v>0</v>
      </c>
      <c r="BJ27" s="21"/>
      <c r="BK27" s="54">
        <f>BE14*BF14</f>
        <v>0</v>
      </c>
      <c r="BL27" s="21"/>
      <c r="BM27" s="48">
        <f>MAX(BK27-$A$24,0)</f>
        <v>0</v>
      </c>
      <c r="BQ27" s="24"/>
      <c r="BR27" s="47">
        <f>BP14*BQ14</f>
        <v>0</v>
      </c>
      <c r="BS27" s="21"/>
      <c r="BT27" s="48">
        <f>MAX(BR27-$A$22,0)</f>
        <v>0</v>
      </c>
      <c r="BU27" s="21"/>
      <c r="BV27" s="54">
        <f>BP14*BQ14</f>
        <v>0</v>
      </c>
      <c r="BW27" s="21"/>
      <c r="BX27" s="48">
        <f>MAX(BV27-$A$24,0)</f>
        <v>0</v>
      </c>
      <c r="CB27" s="24"/>
      <c r="CC27" s="47">
        <f>CA14*CB14</f>
        <v>0</v>
      </c>
      <c r="CD27" s="21"/>
      <c r="CE27" s="48">
        <f>MAX(CC27-$A$22,0)</f>
        <v>0</v>
      </c>
      <c r="CF27" s="21"/>
      <c r="CG27" s="54">
        <f>CA14*CB14</f>
        <v>0</v>
      </c>
      <c r="CH27" s="21"/>
      <c r="CI27" s="48">
        <f>MAX(CG27-$A$24,0)</f>
        <v>0</v>
      </c>
    </row>
    <row r="28" spans="1:87" x14ac:dyDescent="0.25">
      <c r="M28" s="3"/>
      <c r="N28" s="3"/>
      <c r="P28" s="3"/>
      <c r="Q28" s="3"/>
    </row>
    <row r="29" spans="1:87" x14ac:dyDescent="0.25">
      <c r="B29" s="146" t="s">
        <v>111</v>
      </c>
      <c r="C29" s="38"/>
      <c r="D29" s="152" t="s">
        <v>90</v>
      </c>
      <c r="E29" s="153"/>
      <c r="F29" s="153"/>
      <c r="G29" s="154"/>
      <c r="H29" s="152" t="s">
        <v>110</v>
      </c>
      <c r="I29" s="153"/>
      <c r="J29" s="153"/>
      <c r="K29" s="154"/>
      <c r="M29" s="2"/>
      <c r="N29" s="2"/>
      <c r="O29" s="2"/>
      <c r="P29" s="2"/>
      <c r="Q29" s="2"/>
      <c r="R29" s="2"/>
      <c r="AA29" s="14"/>
    </row>
    <row r="30" spans="1:87" x14ac:dyDescent="0.25">
      <c r="B30" s="147"/>
      <c r="C30" s="39"/>
      <c r="D30" s="149" t="s">
        <v>91</v>
      </c>
      <c r="E30" s="150"/>
      <c r="F30" s="150" t="s">
        <v>92</v>
      </c>
      <c r="G30" s="151"/>
      <c r="H30" s="149" t="s">
        <v>91</v>
      </c>
      <c r="I30" s="150"/>
      <c r="J30" s="150" t="s">
        <v>92</v>
      </c>
      <c r="K30" s="151"/>
      <c r="M30" s="2"/>
      <c r="N30" s="2"/>
      <c r="O30" s="2"/>
      <c r="P30" s="2"/>
      <c r="Q30" s="2"/>
      <c r="R30" s="2"/>
    </row>
    <row r="31" spans="1:87" x14ac:dyDescent="0.25">
      <c r="B31" s="147"/>
      <c r="C31" s="40" t="s">
        <v>113</v>
      </c>
      <c r="D31" s="112" t="s">
        <v>53</v>
      </c>
      <c r="E31" s="113" t="s">
        <v>112</v>
      </c>
      <c r="F31" s="113" t="s">
        <v>53</v>
      </c>
      <c r="G31" s="114" t="s">
        <v>112</v>
      </c>
      <c r="H31" s="112" t="s">
        <v>53</v>
      </c>
      <c r="I31" s="113" t="s">
        <v>112</v>
      </c>
      <c r="J31" s="113" t="s">
        <v>53</v>
      </c>
      <c r="K31" s="114" t="s">
        <v>112</v>
      </c>
      <c r="L31" s="13"/>
      <c r="M31" s="2"/>
      <c r="N31" s="2"/>
      <c r="O31" s="2"/>
      <c r="P31" s="2"/>
      <c r="Q31" s="2"/>
      <c r="R31" s="2"/>
    </row>
    <row r="32" spans="1:87" x14ac:dyDescent="0.25">
      <c r="B32" s="147"/>
      <c r="C32" s="39">
        <v>1</v>
      </c>
      <c r="D32" s="94">
        <f>$D$22</f>
        <v>1306</v>
      </c>
      <c r="E32" s="95">
        <f>$F$22</f>
        <v>706</v>
      </c>
      <c r="F32" s="95">
        <f>$H$22</f>
        <v>1306</v>
      </c>
      <c r="G32" s="96">
        <f>$J$22</f>
        <v>330.60000000000014</v>
      </c>
      <c r="H32" s="94">
        <f>$D$27</f>
        <v>0</v>
      </c>
      <c r="I32" s="95">
        <f>$F$27</f>
        <v>0</v>
      </c>
      <c r="J32" s="95">
        <f>$H$27</f>
        <v>0</v>
      </c>
      <c r="K32" s="96">
        <f>$J$27</f>
        <v>0</v>
      </c>
    </row>
    <row r="33" spans="2:11" x14ac:dyDescent="0.25">
      <c r="B33" s="147"/>
      <c r="C33" s="39">
        <v>2</v>
      </c>
      <c r="D33" s="94">
        <f>$D$32+$O$22</f>
        <v>1510</v>
      </c>
      <c r="E33" s="95">
        <f>$E$32+$Q$22</f>
        <v>808</v>
      </c>
      <c r="F33" s="95">
        <f>$F$32+$S$22</f>
        <v>1510</v>
      </c>
      <c r="G33" s="96">
        <f>$G$32+$U$22</f>
        <v>330.60000000000014</v>
      </c>
      <c r="H33" s="94">
        <f>$H$32+$O$27</f>
        <v>0</v>
      </c>
      <c r="I33" s="95">
        <f>$I$32+$Q$27</f>
        <v>0</v>
      </c>
      <c r="J33" s="95">
        <f>$J$32+$S$27</f>
        <v>0</v>
      </c>
      <c r="K33" s="96">
        <f>$K$32+$U$27</f>
        <v>0</v>
      </c>
    </row>
    <row r="34" spans="2:11" x14ac:dyDescent="0.25">
      <c r="B34" s="147"/>
      <c r="C34" s="39">
        <v>3</v>
      </c>
      <c r="D34" s="94">
        <f>$D$33+$Z$22</f>
        <v>2143</v>
      </c>
      <c r="E34" s="95">
        <f>$E$33+$AB$22</f>
        <v>1124.5</v>
      </c>
      <c r="F34" s="95">
        <f>$F$33+$AD$22</f>
        <v>2143</v>
      </c>
      <c r="G34" s="96">
        <f>$G$33+$AF$22</f>
        <v>436.20000000000016</v>
      </c>
      <c r="H34" s="94">
        <f>$H$33+$Z$27</f>
        <v>5536</v>
      </c>
      <c r="I34" s="95">
        <f>$I$33+$AB$27</f>
        <v>4936</v>
      </c>
      <c r="J34" s="95">
        <f>$J$33+$AD$27</f>
        <v>5536</v>
      </c>
      <c r="K34" s="96">
        <f>$K$33+$AF$27</f>
        <v>3536</v>
      </c>
    </row>
    <row r="35" spans="2:11" x14ac:dyDescent="0.25">
      <c r="B35" s="147"/>
      <c r="C35" s="39">
        <v>4</v>
      </c>
      <c r="D35" s="94">
        <f>D34+AK22</f>
        <v>2558</v>
      </c>
      <c r="E35" s="95">
        <f>$E$34+$AM$22</f>
        <v>1332</v>
      </c>
      <c r="F35" s="95">
        <f>$F$34+$AO$22</f>
        <v>2558</v>
      </c>
      <c r="G35" s="96">
        <f>$G$34+$AQ$22</f>
        <v>489.00000000000017</v>
      </c>
      <c r="H35" s="94">
        <f>$H$34+$AK$27</f>
        <v>11072</v>
      </c>
      <c r="I35" s="95">
        <f>$I$34+$AM$27</f>
        <v>9872</v>
      </c>
      <c r="J35" s="95">
        <f>$J$34+$AO$27</f>
        <v>11072</v>
      </c>
      <c r="K35" s="96">
        <f>$K$34+$AQ$27</f>
        <v>7072</v>
      </c>
    </row>
    <row r="36" spans="2:11" x14ac:dyDescent="0.25">
      <c r="B36" s="147"/>
      <c r="C36" s="39">
        <v>5</v>
      </c>
      <c r="D36" s="94">
        <f>$D$35+$AV$22</f>
        <v>2973</v>
      </c>
      <c r="E36" s="95">
        <f>$E$35+$AX$22</f>
        <v>1539.5</v>
      </c>
      <c r="F36" s="95">
        <f>$F$35+$AZ$22</f>
        <v>2973</v>
      </c>
      <c r="G36" s="96">
        <f>$G$35+$BB$22</f>
        <v>541.80000000000018</v>
      </c>
      <c r="H36" s="94">
        <f>$H$35+$AV$27</f>
        <v>11072</v>
      </c>
      <c r="I36" s="95">
        <f>$I$35+$AX$27</f>
        <v>9872</v>
      </c>
      <c r="J36" s="95">
        <f>$J$35+$AZ$27</f>
        <v>11072</v>
      </c>
      <c r="K36" s="96">
        <f>$K$35+$BB$27</f>
        <v>7072</v>
      </c>
    </row>
    <row r="37" spans="2:11" x14ac:dyDescent="0.25">
      <c r="B37" s="147"/>
      <c r="C37" s="39">
        <v>6</v>
      </c>
      <c r="D37" s="94">
        <f>$D$36+$BG$22</f>
        <v>3177</v>
      </c>
      <c r="E37" s="95">
        <f>$E$36+$BI$22</f>
        <v>1641.5</v>
      </c>
      <c r="F37" s="95">
        <f>$F$36+$BK$22</f>
        <v>3177</v>
      </c>
      <c r="G37" s="96">
        <f>$G$36+$BM$22</f>
        <v>541.80000000000018</v>
      </c>
      <c r="H37" s="94">
        <f>$H$36+$BG$27</f>
        <v>11072</v>
      </c>
      <c r="I37" s="95">
        <f>$I$36+$BI$27</f>
        <v>9872</v>
      </c>
      <c r="J37" s="95">
        <f>$J$36+$BK$27</f>
        <v>11072</v>
      </c>
      <c r="K37" s="96">
        <f>$K$36+$BM$27</f>
        <v>7072</v>
      </c>
    </row>
    <row r="38" spans="2:11" x14ac:dyDescent="0.25">
      <c r="B38" s="147"/>
      <c r="C38" s="39">
        <v>7</v>
      </c>
      <c r="D38" s="94">
        <f>$D$37+$BR$22</f>
        <v>3381</v>
      </c>
      <c r="E38" s="95">
        <f>$E$37+$BT$22</f>
        <v>1743.5</v>
      </c>
      <c r="F38" s="95">
        <f>$F$37+$BV$22</f>
        <v>3381</v>
      </c>
      <c r="G38" s="96">
        <f>$G$37+$BX$22</f>
        <v>541.80000000000018</v>
      </c>
      <c r="H38" s="94">
        <f>$H$37+$BR$27</f>
        <v>11072</v>
      </c>
      <c r="I38" s="95">
        <f>$I$37+$BT$27</f>
        <v>9872</v>
      </c>
      <c r="J38" s="95">
        <f>$J$37+$BV$27</f>
        <v>11072</v>
      </c>
      <c r="K38" s="96">
        <f>$K$37+$BX$27</f>
        <v>7072</v>
      </c>
    </row>
    <row r="39" spans="2:11" x14ac:dyDescent="0.25">
      <c r="B39" s="148"/>
      <c r="C39" s="40">
        <v>8</v>
      </c>
      <c r="D39" s="97">
        <f>$D$38+$CC$22</f>
        <v>3585</v>
      </c>
      <c r="E39" s="98">
        <f>$E$38+$CE$22</f>
        <v>1845.5</v>
      </c>
      <c r="F39" s="98">
        <f>$F$38+$CG$22</f>
        <v>3585</v>
      </c>
      <c r="G39" s="99">
        <f>$G$38+$CI$22</f>
        <v>541.80000000000018</v>
      </c>
      <c r="H39" s="97">
        <f>$H$38+$CC$27</f>
        <v>11072</v>
      </c>
      <c r="I39" s="98">
        <f>$I$38+$CE$27</f>
        <v>9872</v>
      </c>
      <c r="J39" s="98">
        <f>$J$38+$CG$27</f>
        <v>11072</v>
      </c>
      <c r="K39" s="99">
        <f>$K$38+$CI$27</f>
        <v>7072</v>
      </c>
    </row>
  </sheetData>
  <mergeCells count="63">
    <mergeCell ref="D30:E30"/>
    <mergeCell ref="F30:G30"/>
    <mergeCell ref="D29:G29"/>
    <mergeCell ref="H30:I30"/>
    <mergeCell ref="J30:K30"/>
    <mergeCell ref="H29:K29"/>
    <mergeCell ref="B29:B39"/>
    <mergeCell ref="BR25:BT25"/>
    <mergeCell ref="BU25:BX25"/>
    <mergeCell ref="CB3:CI3"/>
    <mergeCell ref="CB4:CE4"/>
    <mergeCell ref="CF4:CI4"/>
    <mergeCell ref="CC20:CE20"/>
    <mergeCell ref="CF20:CI20"/>
    <mergeCell ref="CC25:CE25"/>
    <mergeCell ref="CF25:CI25"/>
    <mergeCell ref="BQ3:BX3"/>
    <mergeCell ref="BQ4:BT4"/>
    <mergeCell ref="BU4:BX4"/>
    <mergeCell ref="BR20:BT20"/>
    <mergeCell ref="BU20:BX20"/>
    <mergeCell ref="AV25:AX25"/>
    <mergeCell ref="AY25:BB25"/>
    <mergeCell ref="BF3:BM3"/>
    <mergeCell ref="BF4:BI4"/>
    <mergeCell ref="BJ4:BM4"/>
    <mergeCell ref="BG20:BI20"/>
    <mergeCell ref="BJ20:BM20"/>
    <mergeCell ref="BG25:BI25"/>
    <mergeCell ref="BJ25:BM25"/>
    <mergeCell ref="AU3:BB3"/>
    <mergeCell ref="AU4:AX4"/>
    <mergeCell ref="AY4:BB4"/>
    <mergeCell ref="AV20:AX20"/>
    <mergeCell ref="AY20:BB20"/>
    <mergeCell ref="Z25:AB25"/>
    <mergeCell ref="AC25:AF25"/>
    <mergeCell ref="AJ3:AQ3"/>
    <mergeCell ref="AJ4:AM4"/>
    <mergeCell ref="AN4:AQ4"/>
    <mergeCell ref="AK20:AM20"/>
    <mergeCell ref="AN20:AQ20"/>
    <mergeCell ref="AK25:AM25"/>
    <mergeCell ref="AN25:AQ25"/>
    <mergeCell ref="Y3:AF3"/>
    <mergeCell ref="Y4:AB4"/>
    <mergeCell ref="AC4:AF4"/>
    <mergeCell ref="Z20:AB20"/>
    <mergeCell ref="AC20:AF20"/>
    <mergeCell ref="D25:F25"/>
    <mergeCell ref="G25:J25"/>
    <mergeCell ref="N3:U3"/>
    <mergeCell ref="N4:Q4"/>
    <mergeCell ref="C3:J3"/>
    <mergeCell ref="C4:F4"/>
    <mergeCell ref="G4:J4"/>
    <mergeCell ref="D20:F20"/>
    <mergeCell ref="G20:J20"/>
    <mergeCell ref="R4:U4"/>
    <mergeCell ref="O20:Q20"/>
    <mergeCell ref="R20:U20"/>
    <mergeCell ref="O25:Q25"/>
    <mergeCell ref="R25:U25"/>
  </mergeCells>
  <pageMargins left="0.7" right="0.7" top="0.75" bottom="0.75" header="0.3" footer="0.3"/>
  <pageSetup orientation="portrait" r:id="rId1"/>
  <ignoredErrors>
    <ignoredError sqref="O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G73"/>
  <sheetViews>
    <sheetView workbookViewId="0">
      <selection activeCell="B1" sqref="B1:H1"/>
    </sheetView>
  </sheetViews>
  <sheetFormatPr defaultRowHeight="15" x14ac:dyDescent="0.25"/>
  <cols>
    <col min="1" max="1" width="36.5703125" customWidth="1"/>
    <col min="2" max="2" width="17.28515625" customWidth="1"/>
    <col min="3" max="3" width="14.140625" bestFit="1" customWidth="1"/>
    <col min="4" max="4" width="17.28515625" customWidth="1"/>
    <col min="5" max="5" width="13.5703125" bestFit="1" customWidth="1"/>
    <col min="6" max="6" width="14.42578125" bestFit="1" customWidth="1"/>
    <col min="7" max="8" width="13.5703125" bestFit="1" customWidth="1"/>
    <col min="9" max="9" width="14.42578125" bestFit="1" customWidth="1"/>
    <col min="16" max="16" width="9.85546875" customWidth="1"/>
    <col min="18" max="18" width="11.28515625" customWidth="1"/>
    <col min="19" max="19" width="13.42578125" customWidth="1"/>
    <col min="20" max="20" width="11.28515625" customWidth="1"/>
    <col min="21" max="21" width="12.42578125" bestFit="1" customWidth="1"/>
    <col min="22" max="22" width="16.28515625" customWidth="1"/>
    <col min="23" max="23" width="14.28515625" customWidth="1"/>
    <col min="24" max="24" width="15.7109375" customWidth="1"/>
    <col min="27" max="27" width="14.28515625" customWidth="1"/>
    <col min="28" max="28" width="13.28515625" customWidth="1"/>
    <col min="29" max="29" width="16" customWidth="1"/>
    <col min="30" max="30" width="15" customWidth="1"/>
    <col min="32" max="33" width="12.5703125" customWidth="1"/>
    <col min="34" max="34" width="14" customWidth="1"/>
    <col min="35" max="35" width="12.7109375" customWidth="1"/>
    <col min="36" max="36" width="12.5703125" customWidth="1"/>
    <col min="37" max="37" width="11.42578125" customWidth="1"/>
    <col min="38" max="38" width="14.28515625" customWidth="1"/>
    <col min="39" max="39" width="13.28515625" customWidth="1"/>
    <col min="42" max="43" width="13.28515625" customWidth="1"/>
    <col min="44" max="44" width="14.5703125" customWidth="1"/>
    <col min="45" max="45" width="13.42578125" customWidth="1"/>
    <col min="46" max="46" width="13.28515625" customWidth="1"/>
    <col min="47" max="47" width="12" customWidth="1"/>
    <col min="48" max="48" width="14.7109375" customWidth="1"/>
    <col min="49" max="49" width="13.7109375" customWidth="1"/>
    <col min="52" max="53" width="15.7109375" customWidth="1"/>
    <col min="54" max="54" width="17.28515625" customWidth="1"/>
    <col min="55" max="55" width="16.28515625" customWidth="1"/>
    <col min="56" max="56" width="15.7109375" customWidth="1"/>
    <col min="57" max="57" width="14.7109375" customWidth="1"/>
    <col min="58" max="58" width="17.5703125" customWidth="1"/>
    <col min="59" max="59" width="16.5703125" customWidth="1"/>
  </cols>
  <sheetData>
    <row r="1" spans="1:59" x14ac:dyDescent="0.25">
      <c r="A1" t="s">
        <v>19</v>
      </c>
      <c r="B1" t="s">
        <v>20</v>
      </c>
      <c r="C1" t="s">
        <v>34</v>
      </c>
      <c r="D1" t="s">
        <v>21</v>
      </c>
      <c r="F1" t="s">
        <v>31</v>
      </c>
      <c r="G1" t="s">
        <v>32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Q1" t="s">
        <v>16</v>
      </c>
      <c r="S1" t="s">
        <v>126</v>
      </c>
      <c r="U1" t="str">
        <f>'Dental Modeler'!$C$9 &amp; "Fluoride"</f>
        <v>OneFluoride</v>
      </c>
      <c r="V1" t="s">
        <v>36</v>
      </c>
      <c r="W1" t="s">
        <v>37</v>
      </c>
      <c r="X1" t="s">
        <v>38</v>
      </c>
      <c r="Y1" t="s">
        <v>35</v>
      </c>
      <c r="Z1" t="s">
        <v>39</v>
      </c>
      <c r="AA1" t="s">
        <v>40</v>
      </c>
      <c r="AB1" t="s">
        <v>41</v>
      </c>
      <c r="AC1" t="s">
        <v>42</v>
      </c>
      <c r="AE1" t="str">
        <f>'Dental Modeler'!$C$9 &amp; "Braces"</f>
        <v>OneBraces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O1" t="str">
        <f>'Dental Modeler'!$C$9 &amp; "Fillings"</f>
        <v>OneFillings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Y1" t="str">
        <f>'Dental Modeler'!$C$9 &amp; "RootCanal"</f>
        <v>OneRootCanal</v>
      </c>
      <c r="AZ1" t="s">
        <v>67</v>
      </c>
      <c r="BA1" t="s">
        <v>68</v>
      </c>
      <c r="BB1" t="s">
        <v>69</v>
      </c>
      <c r="BC1" t="s">
        <v>70</v>
      </c>
      <c r="BD1" t="s">
        <v>71</v>
      </c>
      <c r="BE1" t="s">
        <v>72</v>
      </c>
      <c r="BF1" t="s">
        <v>73</v>
      </c>
      <c r="BG1" t="s">
        <v>74</v>
      </c>
    </row>
    <row r="2" spans="1:59" x14ac:dyDescent="0.25">
      <c r="A2" t="s">
        <v>16</v>
      </c>
      <c r="B2" t="s">
        <v>25</v>
      </c>
      <c r="C2" t="str">
        <f>IF(OR(AND(B1='References (Hide)'!$A$2,B2&lt;&gt;""), AND(B1="Two_Person", B2 &lt;&gt;"Two"), AND(B1="Family", B2&lt;3)), "ERROR - IMPOSSIBLE", "")</f>
        <v/>
      </c>
      <c r="D2" t="s">
        <v>52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O2" t="s">
        <v>31</v>
      </c>
      <c r="P2">
        <v>1</v>
      </c>
      <c r="Q2" t="s">
        <v>31</v>
      </c>
      <c r="S2" t="s">
        <v>32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</row>
    <row r="3" spans="1:59" x14ac:dyDescent="0.25">
      <c r="A3" s="1" t="s">
        <v>33</v>
      </c>
      <c r="B3" t="s">
        <v>26</v>
      </c>
      <c r="C3" t="str">
        <f>IF(OR(AND(B2='References (Hide)'!$A$2,B3&lt;&gt;""), AND(B2="Two_Person", B3 &lt;&gt;"Two"), AND(B2="Family", B3&lt;3)), "ERROR - IMPOSSIBLE", "")</f>
        <v/>
      </c>
      <c r="D3" t="s">
        <v>22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O3" t="s">
        <v>32</v>
      </c>
      <c r="P3">
        <v>2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</row>
    <row r="4" spans="1:59" x14ac:dyDescent="0.25">
      <c r="A4" t="s">
        <v>17</v>
      </c>
      <c r="B4" t="s">
        <v>27</v>
      </c>
      <c r="C4" t="str">
        <f>IF(OR(AND(B3='References (Hide)'!$A$2,B4&lt;&gt;""), AND(B3="Two_Person", B4 &lt;&gt;"Two"), AND(B3="Family", B4&lt;3)), "ERROR - IMPOSSIBLE", "")</f>
        <v/>
      </c>
      <c r="D4" t="s">
        <v>23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O4" t="s">
        <v>25</v>
      </c>
      <c r="P4">
        <v>3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  <c r="AC4">
        <v>2</v>
      </c>
      <c r="AI4">
        <v>2</v>
      </c>
      <c r="AJ4">
        <v>2</v>
      </c>
      <c r="AK4">
        <v>2</v>
      </c>
      <c r="AL4">
        <v>2</v>
      </c>
      <c r="AM4">
        <v>2</v>
      </c>
      <c r="AP4">
        <v>2</v>
      </c>
      <c r="AQ4">
        <v>2</v>
      </c>
      <c r="AR4">
        <v>2</v>
      </c>
      <c r="AS4">
        <v>2</v>
      </c>
      <c r="AT4">
        <v>2</v>
      </c>
      <c r="AU4">
        <v>2</v>
      </c>
      <c r="AV4">
        <v>2</v>
      </c>
      <c r="AW4">
        <v>2</v>
      </c>
      <c r="BA4">
        <v>2</v>
      </c>
      <c r="BB4">
        <v>2</v>
      </c>
      <c r="BC4">
        <v>2</v>
      </c>
      <c r="BD4">
        <v>2</v>
      </c>
      <c r="BE4">
        <v>2</v>
      </c>
      <c r="BF4">
        <v>2</v>
      </c>
      <c r="BG4">
        <v>2</v>
      </c>
    </row>
    <row r="5" spans="1:59" x14ac:dyDescent="0.25">
      <c r="B5" t="s">
        <v>28</v>
      </c>
      <c r="C5" t="str">
        <f>IF(OR(AND(B4='References (Hide)'!$A$2,B5&lt;&gt;""), AND(B4="Two_Person", B5 &lt;&gt;"Two"), AND(B4="Family", B5&lt;3)), "ERROR - IMPOSSIBLE", "")</f>
        <v/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O5" t="s">
        <v>26</v>
      </c>
      <c r="P5">
        <v>4</v>
      </c>
      <c r="Y5">
        <v>3</v>
      </c>
      <c r="Z5">
        <v>3</v>
      </c>
      <c r="AA5">
        <v>3</v>
      </c>
      <c r="AB5">
        <v>3</v>
      </c>
      <c r="AC5">
        <v>3</v>
      </c>
      <c r="AJ5">
        <v>3</v>
      </c>
      <c r="AK5">
        <v>3</v>
      </c>
      <c r="AL5">
        <v>3</v>
      </c>
      <c r="AM5">
        <v>3</v>
      </c>
      <c r="AP5">
        <v>3</v>
      </c>
      <c r="AQ5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BB5">
        <v>3</v>
      </c>
      <c r="BC5">
        <v>3</v>
      </c>
      <c r="BD5">
        <v>3</v>
      </c>
      <c r="BE5">
        <v>3</v>
      </c>
      <c r="BF5">
        <v>3</v>
      </c>
      <c r="BG5">
        <v>3</v>
      </c>
    </row>
    <row r="6" spans="1:59" x14ac:dyDescent="0.25">
      <c r="B6" t="s">
        <v>29</v>
      </c>
      <c r="C6" t="str">
        <f>IF(OR(AND(B5='References (Hide)'!$A$2,B6&lt;&gt;""), AND(B5="Two_Person", B6 &lt;&gt;"Two"), AND(B5="Family", B6&lt;3)), "ERROR - IMPOSSIBLE", "")</f>
        <v/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M6">
        <v>4</v>
      </c>
      <c r="O6" t="s">
        <v>27</v>
      </c>
      <c r="P6">
        <v>5</v>
      </c>
      <c r="Y6">
        <v>4</v>
      </c>
      <c r="Z6">
        <v>4</v>
      </c>
      <c r="AA6">
        <v>4</v>
      </c>
      <c r="AB6">
        <v>4</v>
      </c>
      <c r="AC6">
        <v>4</v>
      </c>
      <c r="AK6">
        <v>4</v>
      </c>
      <c r="AL6">
        <v>4</v>
      </c>
      <c r="AM6">
        <v>4</v>
      </c>
      <c r="AQ6">
        <v>4</v>
      </c>
      <c r="AR6">
        <v>4</v>
      </c>
      <c r="AS6">
        <v>4</v>
      </c>
      <c r="AT6">
        <v>4</v>
      </c>
      <c r="AU6">
        <v>4</v>
      </c>
      <c r="AV6">
        <v>4</v>
      </c>
      <c r="AW6">
        <v>4</v>
      </c>
      <c r="BC6">
        <v>4</v>
      </c>
      <c r="BD6">
        <v>4</v>
      </c>
      <c r="BE6">
        <v>4</v>
      </c>
      <c r="BF6">
        <v>4</v>
      </c>
      <c r="BG6">
        <v>4</v>
      </c>
    </row>
    <row r="7" spans="1:59" x14ac:dyDescent="0.25">
      <c r="B7" t="s">
        <v>30</v>
      </c>
      <c r="C7" t="str">
        <f>IF(OR(AND(B6='References (Hide)'!$A$2,B7&lt;&gt;""), AND(B6="Two_Person", B7 &lt;&gt;"Two"), AND(B6="Family", B7&lt;3)), "ERROR - IMPOSSIBLE", "")</f>
        <v/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O7" t="s">
        <v>28</v>
      </c>
      <c r="P7">
        <v>6</v>
      </c>
      <c r="Z7">
        <v>5</v>
      </c>
      <c r="AA7">
        <v>5</v>
      </c>
      <c r="AB7">
        <v>5</v>
      </c>
      <c r="AC7">
        <v>5</v>
      </c>
      <c r="AL7">
        <v>5</v>
      </c>
      <c r="AM7">
        <v>5</v>
      </c>
      <c r="AQ7">
        <v>5</v>
      </c>
      <c r="AR7">
        <v>5</v>
      </c>
      <c r="AS7">
        <v>5</v>
      </c>
      <c r="AT7">
        <v>5</v>
      </c>
      <c r="AU7">
        <v>5</v>
      </c>
      <c r="AV7">
        <v>5</v>
      </c>
      <c r="AW7">
        <v>5</v>
      </c>
      <c r="BD7">
        <v>5</v>
      </c>
      <c r="BE7">
        <v>5</v>
      </c>
      <c r="BF7">
        <v>5</v>
      </c>
      <c r="BG7">
        <v>5</v>
      </c>
    </row>
    <row r="8" spans="1:59" x14ac:dyDescent="0.25">
      <c r="H8">
        <v>6</v>
      </c>
      <c r="I8">
        <v>6</v>
      </c>
      <c r="J8">
        <v>6</v>
      </c>
      <c r="K8">
        <v>6</v>
      </c>
      <c r="L8">
        <v>6</v>
      </c>
      <c r="M8">
        <v>6</v>
      </c>
      <c r="O8" t="s">
        <v>29</v>
      </c>
      <c r="P8">
        <v>7</v>
      </c>
      <c r="Z8">
        <v>6</v>
      </c>
      <c r="AA8">
        <v>6</v>
      </c>
      <c r="AB8">
        <v>6</v>
      </c>
      <c r="AC8">
        <v>6</v>
      </c>
      <c r="AM8">
        <v>6</v>
      </c>
      <c r="AQ8">
        <v>6</v>
      </c>
      <c r="AR8">
        <v>6</v>
      </c>
      <c r="AS8">
        <v>6</v>
      </c>
      <c r="AT8">
        <v>6</v>
      </c>
      <c r="AU8">
        <v>6</v>
      </c>
      <c r="AV8">
        <v>6</v>
      </c>
      <c r="AW8">
        <v>6</v>
      </c>
      <c r="BE8">
        <v>6</v>
      </c>
      <c r="BF8">
        <v>6</v>
      </c>
      <c r="BG8">
        <v>6</v>
      </c>
    </row>
    <row r="9" spans="1:59" ht="21" x14ac:dyDescent="0.35">
      <c r="A9" s="26" t="s">
        <v>109</v>
      </c>
      <c r="B9" s="27"/>
      <c r="C9" s="27"/>
      <c r="D9" s="27"/>
      <c r="I9">
        <v>7</v>
      </c>
      <c r="J9">
        <v>7</v>
      </c>
      <c r="K9">
        <v>7</v>
      </c>
      <c r="L9">
        <v>7</v>
      </c>
      <c r="M9">
        <v>7</v>
      </c>
      <c r="O9" t="s">
        <v>30</v>
      </c>
      <c r="P9">
        <v>8</v>
      </c>
      <c r="AA9">
        <v>7</v>
      </c>
      <c r="AB9">
        <v>7</v>
      </c>
      <c r="AC9">
        <v>7</v>
      </c>
      <c r="AR9">
        <v>7</v>
      </c>
      <c r="AS9">
        <v>7</v>
      </c>
      <c r="AT9">
        <v>7</v>
      </c>
      <c r="AU9">
        <v>7</v>
      </c>
      <c r="AV9">
        <v>7</v>
      </c>
      <c r="AW9">
        <v>7</v>
      </c>
      <c r="BF9">
        <v>7</v>
      </c>
      <c r="BG9">
        <v>7</v>
      </c>
    </row>
    <row r="10" spans="1:59" x14ac:dyDescent="0.25">
      <c r="I10">
        <v>8</v>
      </c>
      <c r="J10">
        <v>8</v>
      </c>
      <c r="K10">
        <v>8</v>
      </c>
      <c r="L10">
        <v>8</v>
      </c>
      <c r="M10">
        <v>8</v>
      </c>
      <c r="AA10">
        <v>8</v>
      </c>
      <c r="AB10">
        <v>8</v>
      </c>
      <c r="AC10">
        <v>8</v>
      </c>
      <c r="AR10">
        <v>8</v>
      </c>
      <c r="AS10">
        <v>8</v>
      </c>
      <c r="AT10">
        <v>8</v>
      </c>
      <c r="AU10">
        <v>8</v>
      </c>
      <c r="AV10">
        <v>8</v>
      </c>
      <c r="AW10">
        <v>8</v>
      </c>
      <c r="BG10">
        <v>8</v>
      </c>
    </row>
    <row r="11" spans="1:59" x14ac:dyDescent="0.25">
      <c r="D11" s="16"/>
      <c r="E11" s="16"/>
      <c r="J11">
        <v>9</v>
      </c>
      <c r="K11">
        <v>9</v>
      </c>
      <c r="L11">
        <v>9</v>
      </c>
      <c r="M11">
        <v>9</v>
      </c>
      <c r="AB11">
        <v>9</v>
      </c>
      <c r="AC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</row>
    <row r="12" spans="1:59" x14ac:dyDescent="0.25">
      <c r="B12" t="s">
        <v>52</v>
      </c>
      <c r="C12" s="3" t="s">
        <v>22</v>
      </c>
      <c r="D12" s="3" t="s">
        <v>23</v>
      </c>
      <c r="J12">
        <v>10</v>
      </c>
      <c r="K12">
        <v>10</v>
      </c>
      <c r="L12">
        <v>10</v>
      </c>
      <c r="M12">
        <v>10</v>
      </c>
      <c r="AB12">
        <v>10</v>
      </c>
      <c r="AC12">
        <v>10</v>
      </c>
      <c r="AS12">
        <v>10</v>
      </c>
      <c r="AT12">
        <v>10</v>
      </c>
      <c r="AU12">
        <v>10</v>
      </c>
      <c r="AV12">
        <v>10</v>
      </c>
      <c r="AW12">
        <v>10</v>
      </c>
    </row>
    <row r="13" spans="1:59" x14ac:dyDescent="0.25">
      <c r="A13" s="16" t="s">
        <v>79</v>
      </c>
      <c r="B13" s="110">
        <v>0</v>
      </c>
      <c r="C13" s="110">
        <v>0</v>
      </c>
      <c r="D13" s="110">
        <v>0</v>
      </c>
      <c r="K13">
        <v>11</v>
      </c>
      <c r="L13">
        <v>11</v>
      </c>
      <c r="M13">
        <v>11</v>
      </c>
      <c r="AC13">
        <v>11</v>
      </c>
      <c r="AS13">
        <v>11</v>
      </c>
      <c r="AT13">
        <v>11</v>
      </c>
      <c r="AU13">
        <v>11</v>
      </c>
      <c r="AV13">
        <v>11</v>
      </c>
      <c r="AW13">
        <v>11</v>
      </c>
    </row>
    <row r="14" spans="1:59" x14ac:dyDescent="0.25">
      <c r="A14" s="16" t="s">
        <v>80</v>
      </c>
      <c r="B14" s="110">
        <v>0</v>
      </c>
      <c r="C14" s="110">
        <v>0</v>
      </c>
      <c r="D14" s="110">
        <v>6.86</v>
      </c>
      <c r="K14">
        <v>12</v>
      </c>
      <c r="L14">
        <v>12</v>
      </c>
      <c r="M14">
        <v>12</v>
      </c>
      <c r="AC14">
        <v>12</v>
      </c>
      <c r="AS14">
        <v>12</v>
      </c>
      <c r="AT14">
        <v>12</v>
      </c>
      <c r="AU14">
        <v>12</v>
      </c>
      <c r="AV14">
        <v>12</v>
      </c>
      <c r="AW14">
        <v>12</v>
      </c>
    </row>
    <row r="15" spans="1:59" x14ac:dyDescent="0.25">
      <c r="A15" s="16" t="s">
        <v>81</v>
      </c>
      <c r="B15" s="110">
        <v>0</v>
      </c>
      <c r="C15" s="110">
        <v>15.37</v>
      </c>
      <c r="D15" s="110">
        <v>30.74</v>
      </c>
      <c r="L15">
        <v>13</v>
      </c>
      <c r="M15">
        <v>13</v>
      </c>
      <c r="O15" t="s">
        <v>118</v>
      </c>
      <c r="P15" t="s">
        <v>1</v>
      </c>
      <c r="Q15" t="s">
        <v>119</v>
      </c>
      <c r="R15" t="s">
        <v>120</v>
      </c>
      <c r="S15" t="s">
        <v>121</v>
      </c>
      <c r="T15" t="s">
        <v>122</v>
      </c>
      <c r="U15" t="s">
        <v>123</v>
      </c>
      <c r="V15" t="s">
        <v>124</v>
      </c>
      <c r="W15" t="s">
        <v>125</v>
      </c>
      <c r="AT15">
        <v>13</v>
      </c>
      <c r="AU15">
        <v>13</v>
      </c>
      <c r="AV15">
        <v>13</v>
      </c>
      <c r="AW15">
        <v>13</v>
      </c>
    </row>
    <row r="16" spans="1:59" x14ac:dyDescent="0.25">
      <c r="A16" s="16" t="s">
        <v>82</v>
      </c>
      <c r="B16" s="110">
        <v>21.23</v>
      </c>
      <c r="C16" s="110">
        <v>21.23</v>
      </c>
      <c r="D16" s="110">
        <v>21.23</v>
      </c>
      <c r="L16">
        <v>14</v>
      </c>
      <c r="M16">
        <v>14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AT16">
        <v>14</v>
      </c>
      <c r="AU16">
        <v>14</v>
      </c>
      <c r="AV16">
        <v>14</v>
      </c>
      <c r="AW16">
        <v>14</v>
      </c>
    </row>
    <row r="17" spans="1:49" x14ac:dyDescent="0.25">
      <c r="A17" s="16" t="s">
        <v>83</v>
      </c>
      <c r="B17" s="110">
        <v>40.479999999999997</v>
      </c>
      <c r="C17" s="110">
        <v>40.479999999999997</v>
      </c>
      <c r="D17" s="110">
        <v>47.34</v>
      </c>
      <c r="M17">
        <v>15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AT17">
        <v>15</v>
      </c>
      <c r="AU17">
        <v>15</v>
      </c>
      <c r="AV17">
        <v>15</v>
      </c>
      <c r="AW17">
        <v>15</v>
      </c>
    </row>
    <row r="18" spans="1:49" x14ac:dyDescent="0.25">
      <c r="A18" s="16" t="s">
        <v>84</v>
      </c>
      <c r="B18" s="110">
        <v>66.47</v>
      </c>
      <c r="C18" s="110">
        <v>81.84</v>
      </c>
      <c r="D18" s="110">
        <v>97.21</v>
      </c>
      <c r="M18">
        <v>16</v>
      </c>
      <c r="O18">
        <v>2</v>
      </c>
      <c r="P18">
        <v>2</v>
      </c>
      <c r="Q18">
        <v>2</v>
      </c>
      <c r="S18">
        <v>2</v>
      </c>
      <c r="U18">
        <v>2</v>
      </c>
      <c r="V18">
        <v>2</v>
      </c>
      <c r="AU18">
        <v>16</v>
      </c>
      <c r="AV18">
        <v>16</v>
      </c>
      <c r="AW18">
        <v>16</v>
      </c>
    </row>
    <row r="19" spans="1:49" x14ac:dyDescent="0.25">
      <c r="S19">
        <v>3</v>
      </c>
      <c r="U19">
        <v>3</v>
      </c>
      <c r="V19">
        <v>3</v>
      </c>
      <c r="AU19">
        <v>17</v>
      </c>
      <c r="AV19">
        <v>17</v>
      </c>
      <c r="AW19">
        <v>17</v>
      </c>
    </row>
    <row r="20" spans="1:49" x14ac:dyDescent="0.25">
      <c r="U20">
        <v>4</v>
      </c>
      <c r="V20">
        <v>4</v>
      </c>
      <c r="AU20">
        <v>18</v>
      </c>
      <c r="AV20">
        <v>18</v>
      </c>
      <c r="AW20">
        <v>18</v>
      </c>
    </row>
    <row r="21" spans="1:49" ht="18.75" x14ac:dyDescent="0.3">
      <c r="A21" s="17" t="s">
        <v>101</v>
      </c>
      <c r="B21" s="17" t="s">
        <v>102</v>
      </c>
      <c r="C21" s="17" t="s">
        <v>103</v>
      </c>
      <c r="D21" s="17" t="s">
        <v>104</v>
      </c>
      <c r="E21" s="17" t="s">
        <v>105</v>
      </c>
      <c r="F21" s="17" t="s">
        <v>106</v>
      </c>
      <c r="G21" s="17" t="s">
        <v>107</v>
      </c>
      <c r="H21" s="17" t="s">
        <v>108</v>
      </c>
      <c r="U21">
        <v>5</v>
      </c>
      <c r="V21">
        <v>5</v>
      </c>
      <c r="AV21">
        <v>19</v>
      </c>
      <c r="AW21">
        <v>19</v>
      </c>
    </row>
    <row r="22" spans="1:49" x14ac:dyDescent="0.25">
      <c r="A22" s="30" t="str">
        <f ca="1">IF(OR(AND('Dental Modeler'!$C$8='References (Hide)'!$A$2,'Dental Modeler'!C14&gt;2), AND('Dental Modeler'!$C$8='References (Hide)'!$A$3,'Dental Modeler'!C14&gt;4), AND('Dental Modeler'!$C$8='References (Hide)'!$A$4, 'Dental Modeler'!C14&gt;MAX(INDIRECT('Dental Modeler'!$C$9)))), "INVALID - PLEASE UPDATE FIELD", "")</f>
        <v/>
      </c>
      <c r="B22" s="28" t="str">
        <f ca="1">IF('Dental Modeler'!$C$8='References (Hide)'!$A$2,"",IF(OR(AND('Dental Modeler'!$C$8='References (Hide)'!$A$2,'Dental Modeler'!D14&gt;2), AND('Dental Modeler'!$C$8='References (Hide)'!$A$3,'Dental Modeler'!D14&gt;4), AND('Dental Modeler'!$C$8='References (Hide)'!$A$4, 'Dental Modeler'!D14&gt;MAX(INDIRECT('Dental Modeler'!$C$9)))), "INVALID - PLEASE UPDATE FIELD", ""))</f>
        <v/>
      </c>
      <c r="C22" s="28" t="str">
        <f ca="1">IF('Dental Modeler'!$C$8='References (Hide)'!$A$2,"",IF(OR(AND('Dental Modeler'!$C$8='References (Hide)'!$A$2,'Dental Modeler'!E14&gt;2), AND('Dental Modeler'!$C$8='References (Hide)'!$A$3,'Dental Modeler'!E14&gt;4), AND('Dental Modeler'!$C$8='References (Hide)'!$A$4, 'Dental Modeler'!E14&gt;MAX(INDIRECT('Dental Modeler'!$C$9)))), "INVALID - PLEASE UPDATE FIELD", ""))</f>
        <v/>
      </c>
      <c r="D22" s="28" t="str">
        <f ca="1">IF('Dental Modeler'!$C$8='References (Hide)'!$A$2,"",IF(OR(AND('Dental Modeler'!$C$8='References (Hide)'!$A$2,'Dental Modeler'!F14&gt;2), AND('Dental Modeler'!$C$8='References (Hide)'!$A$3,'Dental Modeler'!F14&gt;4), AND('Dental Modeler'!$C$8='References (Hide)'!$A$4, 'Dental Modeler'!F14&gt;MAX(INDIRECT('Dental Modeler'!$C$9)))), "INVALID - PLEASE UPDATE FIELD", ""))</f>
        <v/>
      </c>
      <c r="E22" s="28" t="str">
        <f ca="1">IF('Dental Modeler'!$C$8='References (Hide)'!$A$2,"",IF(OR(AND('Dental Modeler'!$C$8='References (Hide)'!$A$2,'Dental Modeler'!G14&gt;2), AND('Dental Modeler'!$C$8='References (Hide)'!$A$3,'Dental Modeler'!G14&gt;4), AND('Dental Modeler'!$C$8='References (Hide)'!$A$4, 'Dental Modeler'!G14&gt;MAX(INDIRECT('Dental Modeler'!$C$9)))), "INVALID - PLEASE UPDATE FIELD", ""))</f>
        <v/>
      </c>
      <c r="F22" s="28" t="str">
        <f ca="1">IF('Dental Modeler'!$C$8='References (Hide)'!$A$2,"",IF(OR(AND('Dental Modeler'!$C$8='References (Hide)'!$A$2,'Dental Modeler'!H14&gt;2), AND('Dental Modeler'!$C$8='References (Hide)'!$A$3,'Dental Modeler'!H14&gt;4), AND('Dental Modeler'!$C$8='References (Hide)'!$A$4, 'Dental Modeler'!H14&gt;MAX(INDIRECT('Dental Modeler'!$C$9)))), "INVALID - PLEASE UPDATE FIELD", ""))</f>
        <v/>
      </c>
      <c r="G22" s="28" t="str">
        <f ca="1">IF('Dental Modeler'!$C$8='References (Hide)'!$A$2,"",IF(OR(AND('Dental Modeler'!$C$8='References (Hide)'!$A$2,'Dental Modeler'!I14&gt;2), AND('Dental Modeler'!$C$8='References (Hide)'!$A$3,'Dental Modeler'!I14&gt;4), AND('Dental Modeler'!$C$8='References (Hide)'!$A$4, 'Dental Modeler'!I14&gt;MAX(INDIRECT('Dental Modeler'!$C$9)))), "INVALID - PLEASE UPDATE FIELD", ""))</f>
        <v/>
      </c>
      <c r="H22" s="124" t="str">
        <f ca="1">IF('Dental Modeler'!$C$8='References (Hide)'!$A$2,"",IF(OR(AND('Dental Modeler'!$C$8='References (Hide)'!$A$2,'Dental Modeler'!J14&gt;2), AND('Dental Modeler'!$C$8='References (Hide)'!$A$3,'Dental Modeler'!J14&gt;4), AND('Dental Modeler'!$C$8='References (Hide)'!$A$4, 'Dental Modeler'!J14&gt;MAX(INDIRECT('Dental Modeler'!$C$9)))), "INVALID - PLEASE UPDATE FIELD", ""))</f>
        <v/>
      </c>
      <c r="I22" t="s">
        <v>115</v>
      </c>
      <c r="J22" s="15" t="str">
        <f>IF(OR(AND('Dental Modeler'!$C$8='References (Hide)'!$A$2,'Dental Modeler'!L13&gt;2), AND('Dental Modeler'!$C$8='References (Hide)'!$A$3,'Dental Modeler'!L13&gt;4)), "INVALID - PLEASE UPDATE FIELD", "")</f>
        <v/>
      </c>
      <c r="K22" s="122" t="s">
        <v>125</v>
      </c>
      <c r="U22">
        <v>6</v>
      </c>
      <c r="V22">
        <v>6</v>
      </c>
      <c r="AV22">
        <v>20</v>
      </c>
      <c r="AW22">
        <v>20</v>
      </c>
    </row>
    <row r="23" spans="1:49" x14ac:dyDescent="0.25">
      <c r="A23" s="30" t="str">
        <f ca="1">IF(OR(AND('Dental Modeler'!$C$8='References (Hide)'!$A$2,'Dental Modeler'!C15&gt;2), AND('Dental Modeler'!$C$8='References (Hide)'!$A$3,'Dental Modeler'!C15&gt;4), AND('Dental Modeler'!$C$8='References (Hide)'!$A$4, 'Dental Modeler'!C15&gt;MAX(INDIRECT('Dental Modeler'!$C$9)))), "INVALID - PLEASE UPDATE FIELD", "")</f>
        <v/>
      </c>
      <c r="B23" s="28" t="str">
        <f ca="1">IF('Dental Modeler'!$C$8='References (Hide)'!$A$2,"",IF(OR(AND('Dental Modeler'!$C$8='References (Hide)'!$A$2,'Dental Modeler'!D15&gt;2), AND('Dental Modeler'!$C$8='References (Hide)'!$A$3,'Dental Modeler'!D15&gt;4), AND('Dental Modeler'!$C$8='References (Hide)'!$A$4, 'Dental Modeler'!D15&gt;MAX(INDIRECT('Dental Modeler'!$C$9)))), "INVALID - PLEASE UPDATE FIELD", ""))</f>
        <v/>
      </c>
      <c r="C23" s="28" t="str">
        <f ca="1">IF('Dental Modeler'!$C$8='References (Hide)'!$A$2,"",IF(OR(AND('Dental Modeler'!$C$8='References (Hide)'!$A$2,'Dental Modeler'!E15&gt;2), AND('Dental Modeler'!$C$8='References (Hide)'!$A$3,'Dental Modeler'!E15&gt;4), AND('Dental Modeler'!$C$8='References (Hide)'!$A$4, 'Dental Modeler'!E15&gt;MAX(INDIRECT('Dental Modeler'!$C$9)))), "INVALID - PLEASE UPDATE FIELD", ""))</f>
        <v/>
      </c>
      <c r="D23" s="28" t="str">
        <f ca="1">IF('Dental Modeler'!$C$8='References (Hide)'!$A$2,"",IF(OR(AND('Dental Modeler'!$C$8='References (Hide)'!$A$2,'Dental Modeler'!F15&gt;2), AND('Dental Modeler'!$C$8='References (Hide)'!$A$3,'Dental Modeler'!F15&gt;4), AND('Dental Modeler'!$C$8='References (Hide)'!$A$4, 'Dental Modeler'!F15&gt;MAX(INDIRECT('Dental Modeler'!$C$9)))), "INVALID - PLEASE UPDATE FIELD", ""))</f>
        <v/>
      </c>
      <c r="E23" s="28" t="str">
        <f ca="1">IF('Dental Modeler'!$C$8='References (Hide)'!$A$2,"",IF(OR(AND('Dental Modeler'!$C$8='References (Hide)'!$A$2,'Dental Modeler'!G15&gt;2), AND('Dental Modeler'!$C$8='References (Hide)'!$A$3,'Dental Modeler'!G15&gt;4), AND('Dental Modeler'!$C$8='References (Hide)'!$A$4, 'Dental Modeler'!G15&gt;MAX(INDIRECT('Dental Modeler'!$C$9)))), "INVALID - PLEASE UPDATE FIELD", ""))</f>
        <v/>
      </c>
      <c r="F23" s="28" t="str">
        <f ca="1">IF('Dental Modeler'!$C$8='References (Hide)'!$A$2,"",IF(OR(AND('Dental Modeler'!$C$8='References (Hide)'!$A$2,'Dental Modeler'!H15&gt;2), AND('Dental Modeler'!$C$8='References (Hide)'!$A$3,'Dental Modeler'!H15&gt;4), AND('Dental Modeler'!$C$8='References (Hide)'!$A$4, 'Dental Modeler'!H15&gt;MAX(INDIRECT('Dental Modeler'!$C$9)))), "INVALID - PLEASE UPDATE FIELD", ""))</f>
        <v/>
      </c>
      <c r="G23" s="28" t="str">
        <f ca="1">IF('Dental Modeler'!$C$8='References (Hide)'!$A$2,"",IF(OR(AND('Dental Modeler'!$C$8='References (Hide)'!$A$2,'Dental Modeler'!I15&gt;2), AND('Dental Modeler'!$C$8='References (Hide)'!$A$3,'Dental Modeler'!I15&gt;4), AND('Dental Modeler'!$C$8='References (Hide)'!$A$4, 'Dental Modeler'!I15&gt;MAX(INDIRECT('Dental Modeler'!$C$9)))), "INVALID - PLEASE UPDATE FIELD", ""))</f>
        <v/>
      </c>
      <c r="H23" s="29" t="str">
        <f ca="1">IF('Dental Modeler'!$C$8='References (Hide)'!$A$2,"",IF(OR(AND('Dental Modeler'!$C$8='References (Hide)'!$A$2,'Dental Modeler'!J15&gt;2), AND('Dental Modeler'!$C$8='References (Hide)'!$A$3,'Dental Modeler'!J15&gt;4), AND('Dental Modeler'!$C$8='References (Hide)'!$A$4, 'Dental Modeler'!J15&gt;MAX(INDIRECT('Dental Modeler'!$C$9)))), "INVALID - PLEASE UPDATE FIELD", ""))</f>
        <v/>
      </c>
      <c r="I23" t="s">
        <v>181</v>
      </c>
      <c r="J23" s="15" t="str">
        <f>IF(OR(AND('Dental Modeler'!$C$8='References (Hide)'!$A$2,'Dental Modeler'!L14&gt;2), AND('Dental Modeler'!$C$8='References (Hide)'!$A$3,'Dental Modeler'!L14&gt;4)), "INVALID - PLEASE UPDATE FIELD", "")</f>
        <v/>
      </c>
      <c r="K23" s="123" t="s">
        <v>189</v>
      </c>
      <c r="U23">
        <v>7</v>
      </c>
      <c r="V23">
        <v>7</v>
      </c>
      <c r="AV23">
        <v>21</v>
      </c>
      <c r="AW23">
        <v>21</v>
      </c>
    </row>
    <row r="24" spans="1:49" x14ac:dyDescent="0.25">
      <c r="A24" s="30" t="str">
        <f ca="1">IF(OR(AND('Dental Modeler'!$C$8='References (Hide)'!$A$2,'Dental Modeler'!C16&gt;2), AND('Dental Modeler'!$C$8='References (Hide)'!$A$3,'Dental Modeler'!C16&gt;4), AND('Dental Modeler'!$C$8='References (Hide)'!$A$4, 'Dental Modeler'!C16&gt;MAX(INDIRECT('Dental Modeler'!$C$9)))), "INVALID - PLEASE UPDATE FIELD", "")</f>
        <v/>
      </c>
      <c r="B24" s="28" t="str">
        <f ca="1">IF('Dental Modeler'!$C$8='References (Hide)'!$A$2,"",IF(OR(AND('Dental Modeler'!$C$8='References (Hide)'!$A$2,'Dental Modeler'!D16&gt;2), AND('Dental Modeler'!$C$8='References (Hide)'!$A$3,'Dental Modeler'!D16&gt;4), AND('Dental Modeler'!$C$8='References (Hide)'!$A$4, 'Dental Modeler'!D16&gt;MAX(INDIRECT('Dental Modeler'!$C$9)))), "INVALID - PLEASE UPDATE FIELD", ""))</f>
        <v/>
      </c>
      <c r="C24" s="28" t="str">
        <f ca="1">IF('Dental Modeler'!$C$8='References (Hide)'!$A$2,"",IF(OR(AND('Dental Modeler'!$C$8='References (Hide)'!$A$2,'Dental Modeler'!E16&gt;2), AND('Dental Modeler'!$C$8='References (Hide)'!$A$3,'Dental Modeler'!E16&gt;4), AND('Dental Modeler'!$C$8='References (Hide)'!$A$4, 'Dental Modeler'!E16&gt;MAX(INDIRECT('Dental Modeler'!$C$9)))), "INVALID - PLEASE UPDATE FIELD", ""))</f>
        <v/>
      </c>
      <c r="D24" s="28" t="str">
        <f ca="1">IF('Dental Modeler'!$C$8='References (Hide)'!$A$2,"",IF(OR(AND('Dental Modeler'!$C$8='References (Hide)'!$A$2,'Dental Modeler'!F16&gt;2), AND('Dental Modeler'!$C$8='References (Hide)'!$A$3,'Dental Modeler'!F16&gt;4), AND('Dental Modeler'!$C$8='References (Hide)'!$A$4, 'Dental Modeler'!F16&gt;MAX(INDIRECT('Dental Modeler'!$C$9)))), "INVALID - PLEASE UPDATE FIELD", ""))</f>
        <v/>
      </c>
      <c r="E24" s="28" t="str">
        <f ca="1">IF('Dental Modeler'!$C$8='References (Hide)'!$A$2,"",IF(OR(AND('Dental Modeler'!$C$8='References (Hide)'!$A$2,'Dental Modeler'!G16&gt;2), AND('Dental Modeler'!$C$8='References (Hide)'!$A$3,'Dental Modeler'!G16&gt;4), AND('Dental Modeler'!$C$8='References (Hide)'!$A$4, 'Dental Modeler'!G16&gt;MAX(INDIRECT('Dental Modeler'!$C$9)))), "INVALID - PLEASE UPDATE FIELD", ""))</f>
        <v/>
      </c>
      <c r="F24" s="28" t="str">
        <f ca="1">IF('Dental Modeler'!$C$8='References (Hide)'!$A$2,"",IF(OR(AND('Dental Modeler'!$C$8='References (Hide)'!$A$2,'Dental Modeler'!H16&gt;2), AND('Dental Modeler'!$C$8='References (Hide)'!$A$3,'Dental Modeler'!H16&gt;4), AND('Dental Modeler'!$C$8='References (Hide)'!$A$4, 'Dental Modeler'!H16&gt;MAX(INDIRECT('Dental Modeler'!$C$9)))), "INVALID - PLEASE UPDATE FIELD", ""))</f>
        <v/>
      </c>
      <c r="G24" s="28" t="str">
        <f ca="1">IF('Dental Modeler'!$C$8='References (Hide)'!$A$2,"",IF(OR(AND('Dental Modeler'!$C$8='References (Hide)'!$A$2,'Dental Modeler'!I16&gt;2), AND('Dental Modeler'!$C$8='References (Hide)'!$A$3,'Dental Modeler'!I16&gt;4), AND('Dental Modeler'!$C$8='References (Hide)'!$A$4, 'Dental Modeler'!I16&gt;MAX(INDIRECT('Dental Modeler'!$C$9)))), "INVALID - PLEASE UPDATE FIELD", ""))</f>
        <v/>
      </c>
      <c r="H24" s="29" t="str">
        <f ca="1">IF('Dental Modeler'!$C$8='References (Hide)'!$A$2,"",IF(OR(AND('Dental Modeler'!$C$8='References (Hide)'!$A$2,'Dental Modeler'!J16&gt;2), AND('Dental Modeler'!$C$8='References (Hide)'!$A$3,'Dental Modeler'!J16&gt;4), AND('Dental Modeler'!$C$8='References (Hide)'!$A$4, 'Dental Modeler'!J16&gt;MAX(INDIRECT('Dental Modeler'!$C$9)))), "INVALID - PLEASE UPDATE FIELD", ""))</f>
        <v/>
      </c>
      <c r="I24" t="s">
        <v>182</v>
      </c>
      <c r="J24" s="15" t="str">
        <f>IF(OR(AND('Dental Modeler'!$C$8='References (Hide)'!$A$2,'Dental Modeler'!L15&gt;2), AND('Dental Modeler'!$C$8='References (Hide)'!$A$3,'Dental Modeler'!L15&gt;4)), "INVALID - PLEASE UPDATE FIELD", "")</f>
        <v/>
      </c>
      <c r="K24" s="1" t="s">
        <v>190</v>
      </c>
      <c r="U24">
        <v>8</v>
      </c>
      <c r="V24">
        <v>8</v>
      </c>
      <c r="AW24">
        <v>22</v>
      </c>
    </row>
    <row r="25" spans="1:49" x14ac:dyDescent="0.25">
      <c r="A25" s="30" t="str">
        <f>IF(OR(AND('Dental Modeler'!$C$8='References (Hide)'!$A$2,'Dental Modeler'!C17&gt;0), AND('Dental Modeler'!$C$8='References (Hide)'!$A$3,'Dental Modeler'!C17&gt;2), AND('Dental Modeler'!$C$8='References (Hide)'!$A$4, 'Dental Modeler'!C17&gt;(VLOOKUP('Dental Modeler'!$C$9,'References (Hide)'!$O$2:$P$9,2,FALSE)-2)*2)), "INVALID - PLEASE UPDATE FIELD", "")</f>
        <v/>
      </c>
      <c r="B25" s="28" t="str">
        <f ca="1">IF('Dental Modeler'!$C$8='References (Hide)'!$A$2,"",IF(OR(AND('Dental Modeler'!$C$8='References (Hide)'!$A$2,'Dental Modeler'!D17&gt;2), AND('Dental Modeler'!$C$8='References (Hide)'!$A$3,'Dental Modeler'!D17&gt;4), AND('Dental Modeler'!$C$8='References (Hide)'!$A$4, 'Dental Modeler'!D17&gt;MAX(INDIRECT('Dental Modeler'!$C$9)))), "INVALID - PLEASE UPDATE FIELD", ""))</f>
        <v/>
      </c>
      <c r="C25" s="28" t="str">
        <f ca="1">IF('Dental Modeler'!$C$8='References (Hide)'!$A$2,"",IF(OR(AND('Dental Modeler'!$C$8='References (Hide)'!$A$2,'Dental Modeler'!E17&gt;2), AND('Dental Modeler'!$C$8='References (Hide)'!$A$3,'Dental Modeler'!E17&gt;4), AND('Dental Modeler'!$C$8='References (Hide)'!$A$4, 'Dental Modeler'!E17&gt;MAX(INDIRECT('Dental Modeler'!$C$9)))), "INVALID - PLEASE UPDATE FIELD", ""))</f>
        <v/>
      </c>
      <c r="D25" s="28" t="str">
        <f ca="1">IF('Dental Modeler'!$C$8='References (Hide)'!$A$2,"",IF(OR(AND('Dental Modeler'!$C$8='References (Hide)'!$A$2,'Dental Modeler'!F17&gt;2), AND('Dental Modeler'!$C$8='References (Hide)'!$A$3,'Dental Modeler'!F17&gt;4), AND('Dental Modeler'!$C$8='References (Hide)'!$A$4, 'Dental Modeler'!F17&gt;MAX(INDIRECT('Dental Modeler'!$C$9)))), "INVALID - PLEASE UPDATE FIELD", ""))</f>
        <v/>
      </c>
      <c r="E25" s="28" t="str">
        <f ca="1">IF('Dental Modeler'!$C$8='References (Hide)'!$A$2,"",IF(OR(AND('Dental Modeler'!$C$8='References (Hide)'!$A$2,'Dental Modeler'!G17&gt;2), AND('Dental Modeler'!$C$8='References (Hide)'!$A$3,'Dental Modeler'!G17&gt;4), AND('Dental Modeler'!$C$8='References (Hide)'!$A$4, 'Dental Modeler'!G17&gt;MAX(INDIRECT('Dental Modeler'!$C$9)))), "INVALID - PLEASE UPDATE FIELD", ""))</f>
        <v/>
      </c>
      <c r="F25" s="28" t="str">
        <f ca="1">IF('Dental Modeler'!$C$8='References (Hide)'!$A$2,"",IF(OR(AND('Dental Modeler'!$C$8='References (Hide)'!$A$2,'Dental Modeler'!H17&gt;2), AND('Dental Modeler'!$C$8='References (Hide)'!$A$3,'Dental Modeler'!H17&gt;4), AND('Dental Modeler'!$C$8='References (Hide)'!$A$4, 'Dental Modeler'!H17&gt;MAX(INDIRECT('Dental Modeler'!$C$9)))), "INVALID - PLEASE UPDATE FIELD", ""))</f>
        <v/>
      </c>
      <c r="G25" s="28" t="str">
        <f ca="1">IF('Dental Modeler'!$C$8='References (Hide)'!$A$2,"",IF(OR(AND('Dental Modeler'!$C$8='References (Hide)'!$A$2,'Dental Modeler'!I17&gt;2), AND('Dental Modeler'!$C$8='References (Hide)'!$A$3,'Dental Modeler'!I17&gt;4), AND('Dental Modeler'!$C$8='References (Hide)'!$A$4, 'Dental Modeler'!I17&gt;MAX(INDIRECT('Dental Modeler'!$C$9)))), "INVALID - PLEASE UPDATE FIELD", ""))</f>
        <v/>
      </c>
      <c r="H25" s="29" t="str">
        <f ca="1">IF('Dental Modeler'!$C$8='References (Hide)'!$A$2,"",IF(OR(AND('Dental Modeler'!$C$8='References (Hide)'!$A$2,'Dental Modeler'!J17&gt;2), AND('Dental Modeler'!$C$8='References (Hide)'!$A$3,'Dental Modeler'!J17&gt;4), AND('Dental Modeler'!$C$8='References (Hide)'!$A$4, 'Dental Modeler'!J17&gt;MAX(INDIRECT('Dental Modeler'!$C$9)))), "INVALID - PLEASE UPDATE FIELD", ""))</f>
        <v/>
      </c>
      <c r="I25" t="s">
        <v>183</v>
      </c>
      <c r="J25" s="15" t="str">
        <f>IF(OR(AND('Dental Modeler'!$C$8='References (Hide)'!$A$2,'Dental Modeler'!L16&gt;0), AND('Dental Modeler'!$C$8='References (Hide)'!$A$3,'Dental Modeler'!L16&gt;2)), "INVALID - PLEASE UPDATE FIELD", "")</f>
        <v/>
      </c>
      <c r="U25">
        <v>9</v>
      </c>
      <c r="V25">
        <v>9</v>
      </c>
      <c r="AW25">
        <v>23</v>
      </c>
    </row>
    <row r="26" spans="1:49" x14ac:dyDescent="0.25">
      <c r="A26" s="30" t="str">
        <f>IF(OR(AND('Dental Modeler'!$C$8='References (Hide)'!$A$2,'Dental Modeler'!C18&gt;3), AND('Dental Modeler'!$C$8='References (Hide)'!$A$3,'Dental Modeler'!C18&gt;6), AND('Dental Modeler'!$C$8='References (Hide)'!$A$4, 'Dental Modeler'!C18&gt;(VLOOKUP('Dental Modeler'!$C$9,'References (Hide)'!$O$2:$P$9,2,FALSE)*3))), "INVALID - PLEASE UPDATE FIELD", "")</f>
        <v/>
      </c>
      <c r="B26" s="28" t="str">
        <f ca="1">IF('Dental Modeler'!$C$8='References (Hide)'!$A$2,"",IF(OR(AND('Dental Modeler'!$C$8='References (Hide)'!$A$2,'Dental Modeler'!D18&gt;2), AND('Dental Modeler'!$C$8='References (Hide)'!$A$3,'Dental Modeler'!D18&gt;4), AND('Dental Modeler'!$C$8='References (Hide)'!$A$4, 'Dental Modeler'!D18&gt;MAX(INDIRECT('Dental Modeler'!$C$9)))), "INVALID - PLEASE UPDATE FIELD", ""))</f>
        <v/>
      </c>
      <c r="C26" s="28" t="str">
        <f ca="1">IF('Dental Modeler'!$C$8='References (Hide)'!$A$2,"",IF(OR(AND('Dental Modeler'!$C$8='References (Hide)'!$A$2,'Dental Modeler'!E18&gt;2), AND('Dental Modeler'!$C$8='References (Hide)'!$A$3,'Dental Modeler'!E18&gt;4), AND('Dental Modeler'!$C$8='References (Hide)'!$A$4, 'Dental Modeler'!E18&gt;MAX(INDIRECT('Dental Modeler'!$C$9)))), "INVALID - PLEASE UPDATE FIELD", ""))</f>
        <v/>
      </c>
      <c r="D26" s="28" t="str">
        <f ca="1">IF('Dental Modeler'!$C$8='References (Hide)'!$A$2,"",IF(OR(AND('Dental Modeler'!$C$8='References (Hide)'!$A$2,'Dental Modeler'!F18&gt;2), AND('Dental Modeler'!$C$8='References (Hide)'!$A$3,'Dental Modeler'!F18&gt;4), AND('Dental Modeler'!$C$8='References (Hide)'!$A$4, 'Dental Modeler'!F18&gt;MAX(INDIRECT('Dental Modeler'!$C$9)))), "INVALID - PLEASE UPDATE FIELD", ""))</f>
        <v/>
      </c>
      <c r="E26" s="28" t="str">
        <f ca="1">IF('Dental Modeler'!$C$8='References (Hide)'!$A$2,"",IF(OR(AND('Dental Modeler'!$C$8='References (Hide)'!$A$2,'Dental Modeler'!G18&gt;2), AND('Dental Modeler'!$C$8='References (Hide)'!$A$3,'Dental Modeler'!G18&gt;4), AND('Dental Modeler'!$C$8='References (Hide)'!$A$4, 'Dental Modeler'!G18&gt;MAX(INDIRECT('Dental Modeler'!$C$9)))), "INVALID - PLEASE UPDATE FIELD", ""))</f>
        <v/>
      </c>
      <c r="F26" s="28" t="str">
        <f ca="1">IF('Dental Modeler'!$C$8='References (Hide)'!$A$2,"",IF(OR(AND('Dental Modeler'!$C$8='References (Hide)'!$A$2,'Dental Modeler'!H18&gt;2), AND('Dental Modeler'!$C$8='References (Hide)'!$A$3,'Dental Modeler'!H18&gt;4), AND('Dental Modeler'!$C$8='References (Hide)'!$A$4, 'Dental Modeler'!H18&gt;MAX(INDIRECT('Dental Modeler'!$C$9)))), "INVALID - PLEASE UPDATE FIELD", ""))</f>
        <v/>
      </c>
      <c r="G26" s="28" t="str">
        <f ca="1">IF('Dental Modeler'!$C$8='References (Hide)'!$A$2,"",IF(OR(AND('Dental Modeler'!$C$8='References (Hide)'!$A$2,'Dental Modeler'!I18&gt;2), AND('Dental Modeler'!$C$8='References (Hide)'!$A$3,'Dental Modeler'!I18&gt;4), AND('Dental Modeler'!$C$8='References (Hide)'!$A$4, 'Dental Modeler'!I18&gt;MAX(INDIRECT('Dental Modeler'!$C$9)))), "INVALID - PLEASE UPDATE FIELD", ""))</f>
        <v/>
      </c>
      <c r="H26" s="29" t="str">
        <f ca="1">IF('Dental Modeler'!$C$8='References (Hide)'!$A$2,"",IF(OR(AND('Dental Modeler'!$C$8='References (Hide)'!$A$2,'Dental Modeler'!J18&gt;2), AND('Dental Modeler'!$C$8='References (Hide)'!$A$3,'Dental Modeler'!J18&gt;4), AND('Dental Modeler'!$C$8='References (Hide)'!$A$4, 'Dental Modeler'!J18&gt;MAX(INDIRECT('Dental Modeler'!$C$9)))), "INVALID - PLEASE UPDATE FIELD", ""))</f>
        <v/>
      </c>
      <c r="I26" t="s">
        <v>184</v>
      </c>
      <c r="J26" s="15" t="str">
        <f>IF(OR(AND('Dental Modeler'!$C$8='References (Hide)'!$A$2,'Dental Modeler'!L17&gt;3), AND('Dental Modeler'!$C$8='References (Hide)'!$A$3,'Dental Modeler'!L17&gt;6)), "INVALID - PLEASE UPDATE FIELD", "")</f>
        <v/>
      </c>
      <c r="U26">
        <v>10</v>
      </c>
      <c r="V26">
        <v>10</v>
      </c>
      <c r="AW26">
        <v>24</v>
      </c>
    </row>
    <row r="27" spans="1:49" x14ac:dyDescent="0.25">
      <c r="A27" s="30" t="str">
        <f>IF(OR(AND('Dental Modeler'!$C$8='References (Hide)'!$A$2,'Dental Modeler'!C19&gt;1), AND('Dental Modeler'!$C$8='References (Hide)'!$A$3,'Dental Modeler'!C19&gt;2), AND('Dental Modeler'!$C$8='References (Hide)'!$A$4, 'Dental Modeler'!C19&gt;(VLOOKUP('Dental Modeler'!$C$9,'References (Hide)'!$O$2:$P$9,2,FALSE)))), "INVALID - PLEASE UPDATE FIELD", "")</f>
        <v/>
      </c>
      <c r="B27" s="28" t="str">
        <f ca="1">IF('Dental Modeler'!$C$8='References (Hide)'!$A$2,"",IF(OR(AND('Dental Modeler'!$C$8='References (Hide)'!$A$2,'Dental Modeler'!D19&gt;2), AND('Dental Modeler'!$C$8='References (Hide)'!$A$3,'Dental Modeler'!D19&gt;4), AND('Dental Modeler'!$C$8='References (Hide)'!$A$4, 'Dental Modeler'!D19&gt;MAX(INDIRECT('Dental Modeler'!$C$9)))), "INVALID - PLEASE UPDATE FIELD", ""))</f>
        <v/>
      </c>
      <c r="C27" s="28" t="str">
        <f ca="1">IF('Dental Modeler'!$C$8='References (Hide)'!$A$2,"",IF(OR(AND('Dental Modeler'!$C$8='References (Hide)'!$A$2,'Dental Modeler'!E19&gt;2), AND('Dental Modeler'!$C$8='References (Hide)'!$A$3,'Dental Modeler'!E19&gt;4), AND('Dental Modeler'!$C$8='References (Hide)'!$A$4, 'Dental Modeler'!E19&gt;MAX(INDIRECT('Dental Modeler'!$C$9)))), "INVALID - PLEASE UPDATE FIELD", ""))</f>
        <v/>
      </c>
      <c r="D27" s="28" t="str">
        <f ca="1">IF('Dental Modeler'!$C$8='References (Hide)'!$A$2,"",IF(OR(AND('Dental Modeler'!$C$8='References (Hide)'!$A$2,'Dental Modeler'!F19&gt;2), AND('Dental Modeler'!$C$8='References (Hide)'!$A$3,'Dental Modeler'!F19&gt;4), AND('Dental Modeler'!$C$8='References (Hide)'!$A$4, 'Dental Modeler'!F19&gt;MAX(INDIRECT('Dental Modeler'!$C$9)))), "INVALID - PLEASE UPDATE FIELD", ""))</f>
        <v/>
      </c>
      <c r="E27" s="28" t="str">
        <f ca="1">IF('Dental Modeler'!$C$8='References (Hide)'!$A$2,"",IF(OR(AND('Dental Modeler'!$C$8='References (Hide)'!$A$2,'Dental Modeler'!G19&gt;2), AND('Dental Modeler'!$C$8='References (Hide)'!$A$3,'Dental Modeler'!G19&gt;4), AND('Dental Modeler'!$C$8='References (Hide)'!$A$4, 'Dental Modeler'!G19&gt;MAX(INDIRECT('Dental Modeler'!$C$9)))), "INVALID - PLEASE UPDATE FIELD", ""))</f>
        <v/>
      </c>
      <c r="F27" s="28" t="str">
        <f ca="1">IF('Dental Modeler'!$C$8='References (Hide)'!$A$2,"",IF(OR(AND('Dental Modeler'!$C$8='References (Hide)'!$A$2,'Dental Modeler'!H19&gt;2), AND('Dental Modeler'!$C$8='References (Hide)'!$A$3,'Dental Modeler'!H19&gt;4), AND('Dental Modeler'!$C$8='References (Hide)'!$A$4, 'Dental Modeler'!H19&gt;MAX(INDIRECT('Dental Modeler'!$C$9)))), "INVALID - PLEASE UPDATE FIELD", ""))</f>
        <v/>
      </c>
      <c r="G27" s="28" t="str">
        <f ca="1">IF('Dental Modeler'!$C$8='References (Hide)'!$A$2,"",IF(OR(AND('Dental Modeler'!$C$8='References (Hide)'!$A$2,'Dental Modeler'!I19&gt;2), AND('Dental Modeler'!$C$8='References (Hide)'!$A$3,'Dental Modeler'!I19&gt;4), AND('Dental Modeler'!$C$8='References (Hide)'!$A$4, 'Dental Modeler'!I19&gt;MAX(INDIRECT('Dental Modeler'!$C$9)))), "INVALID - PLEASE UPDATE FIELD", ""))</f>
        <v/>
      </c>
      <c r="H27" s="29" t="str">
        <f ca="1">IF('Dental Modeler'!$C$8='References (Hide)'!$A$2,"",IF(OR(AND('Dental Modeler'!$C$8='References (Hide)'!$A$2,'Dental Modeler'!J19&gt;2), AND('Dental Modeler'!$C$8='References (Hide)'!$A$3,'Dental Modeler'!J19&gt;4), AND('Dental Modeler'!$C$8='References (Hide)'!$A$4, 'Dental Modeler'!J19&gt;MAX(INDIRECT('Dental Modeler'!$C$9)))), "INVALID - PLEASE UPDATE FIELD", ""))</f>
        <v/>
      </c>
      <c r="I27" t="s">
        <v>185</v>
      </c>
      <c r="J27" s="15" t="str">
        <f>IF(OR(AND('Dental Modeler'!$C$8='References (Hide)'!$A$2,'Dental Modeler'!L18&gt;1), AND('Dental Modeler'!$C$8='References (Hide)'!$A$3,'Dental Modeler'!L18&gt;2)), "INVALID - PLEASE UPDATE FIELD", "")</f>
        <v/>
      </c>
    </row>
    <row r="28" spans="1:49" x14ac:dyDescent="0.25">
      <c r="A28" s="30"/>
      <c r="B28" s="28" t="str">
        <f ca="1">IF('Dental Modeler'!$C$8='References (Hide)'!$A$2,"",IF(OR(AND('Dental Modeler'!$C$8='References (Hide)'!$A$2,'Dental Modeler'!D20&gt;2), AND('Dental Modeler'!$C$8='References (Hide)'!$A$3,'Dental Modeler'!D20&gt;4), AND('Dental Modeler'!$C$8='References (Hide)'!$A$4, 'Dental Modeler'!D20&gt;MAX(INDIRECT('Dental Modeler'!$C$9)))), "INVALID - PLEASE UPDATE FIELD", ""))</f>
        <v/>
      </c>
      <c r="C28" s="28" t="str">
        <f ca="1">IF('Dental Modeler'!$C$8='References (Hide)'!$A$2,"",IF(OR(AND('Dental Modeler'!$C$8='References (Hide)'!$A$2,'Dental Modeler'!E20&gt;2), AND('Dental Modeler'!$C$8='References (Hide)'!$A$3,'Dental Modeler'!E20&gt;4), AND('Dental Modeler'!$C$8='References (Hide)'!$A$4, 'Dental Modeler'!E20&gt;MAX(INDIRECT('Dental Modeler'!$C$9)))), "INVALID - PLEASE UPDATE FIELD", ""))</f>
        <v/>
      </c>
      <c r="D28" s="28" t="str">
        <f ca="1">IF('Dental Modeler'!$C$8='References (Hide)'!$A$2,"",IF(OR(AND('Dental Modeler'!$C$8='References (Hide)'!$A$2,'Dental Modeler'!F20&gt;2), AND('Dental Modeler'!$C$8='References (Hide)'!$A$3,'Dental Modeler'!F20&gt;4), AND('Dental Modeler'!$C$8='References (Hide)'!$A$4, 'Dental Modeler'!F20&gt;MAX(INDIRECT('Dental Modeler'!$C$9)))), "INVALID - PLEASE UPDATE FIELD", ""))</f>
        <v/>
      </c>
      <c r="E28" s="28" t="str">
        <f ca="1">IF('Dental Modeler'!$C$8='References (Hide)'!$A$2,"",IF(OR(AND('Dental Modeler'!$C$8='References (Hide)'!$A$2,'Dental Modeler'!G20&gt;2), AND('Dental Modeler'!$C$8='References (Hide)'!$A$3,'Dental Modeler'!G20&gt;4), AND('Dental Modeler'!$C$8='References (Hide)'!$A$4, 'Dental Modeler'!G20&gt;MAX(INDIRECT('Dental Modeler'!$C$9)))), "INVALID - PLEASE UPDATE FIELD", ""))</f>
        <v/>
      </c>
      <c r="F28" s="28" t="str">
        <f ca="1">IF('Dental Modeler'!$C$8='References (Hide)'!$A$2,"",IF(OR(AND('Dental Modeler'!$C$8='References (Hide)'!$A$2,'Dental Modeler'!H20&gt;2), AND('Dental Modeler'!$C$8='References (Hide)'!$A$3,'Dental Modeler'!H20&gt;4), AND('Dental Modeler'!$C$8='References (Hide)'!$A$4, 'Dental Modeler'!H20&gt;MAX(INDIRECT('Dental Modeler'!$C$9)))), "INVALID - PLEASE UPDATE FIELD", ""))</f>
        <v/>
      </c>
      <c r="G28" s="28" t="str">
        <f ca="1">IF('Dental Modeler'!$C$8='References (Hide)'!$A$2,"",IF(OR(AND('Dental Modeler'!$C$8='References (Hide)'!$A$2,'Dental Modeler'!I20&gt;2), AND('Dental Modeler'!$C$8='References (Hide)'!$A$3,'Dental Modeler'!I20&gt;4), AND('Dental Modeler'!$C$8='References (Hide)'!$A$4, 'Dental Modeler'!I20&gt;MAX(INDIRECT('Dental Modeler'!$C$9)))), "INVALID - PLEASE UPDATE FIELD", ""))</f>
        <v/>
      </c>
      <c r="H28" s="29" t="str">
        <f ca="1">IF('Dental Modeler'!$C$8='References (Hide)'!$A$2,"",IF(OR(AND('Dental Modeler'!$C$8='References (Hide)'!$A$2,'Dental Modeler'!J20&gt;2), AND('Dental Modeler'!$C$8='References (Hide)'!$A$3,'Dental Modeler'!J20&gt;4), AND('Dental Modeler'!$C$8='References (Hide)'!$A$4, 'Dental Modeler'!J20&gt;MAX(INDIRECT('Dental Modeler'!$C$9)))), "INVALID - PLEASE UPDATE FIELD", ""))</f>
        <v/>
      </c>
      <c r="I28" t="s">
        <v>186</v>
      </c>
      <c r="J28" s="15"/>
    </row>
    <row r="29" spans="1:49" x14ac:dyDescent="0.25">
      <c r="A29" s="30"/>
      <c r="B29" s="28" t="str">
        <f ca="1">IF('Dental Modeler'!$C$8='References (Hide)'!$A$2,"",IF(OR(AND('Dental Modeler'!$C$8='References (Hide)'!$A$2,'Dental Modeler'!D21&gt;2), AND('Dental Modeler'!$C$8='References (Hide)'!$A$3,'Dental Modeler'!D21&gt;4), AND('Dental Modeler'!$C$8='References (Hide)'!$A$4, 'Dental Modeler'!D21&gt;MAX(INDIRECT('Dental Modeler'!$C$9)))), "INVALID - PLEASE UPDATE FIELD", ""))</f>
        <v/>
      </c>
      <c r="C29" s="28" t="str">
        <f ca="1">IF('Dental Modeler'!$C$8='References (Hide)'!$A$2,"",IF(OR(AND('Dental Modeler'!$C$8='References (Hide)'!$A$2,'Dental Modeler'!E21&gt;2), AND('Dental Modeler'!$C$8='References (Hide)'!$A$3,'Dental Modeler'!E21&gt;4), AND('Dental Modeler'!$C$8='References (Hide)'!$A$4, 'Dental Modeler'!E21&gt;MAX(INDIRECT('Dental Modeler'!$C$9)))), "INVALID - PLEASE UPDATE FIELD", ""))</f>
        <v/>
      </c>
      <c r="D29" s="28" t="str">
        <f ca="1">IF('Dental Modeler'!$C$8='References (Hide)'!$A$2,"",IF(OR(AND('Dental Modeler'!$C$8='References (Hide)'!$A$2,'Dental Modeler'!F21&gt;2), AND('Dental Modeler'!$C$8='References (Hide)'!$A$3,'Dental Modeler'!F21&gt;4), AND('Dental Modeler'!$C$8='References (Hide)'!$A$4, 'Dental Modeler'!F21&gt;MAX(INDIRECT('Dental Modeler'!$C$9)))), "INVALID - PLEASE UPDATE FIELD", ""))</f>
        <v/>
      </c>
      <c r="E29" s="28" t="str">
        <f ca="1">IF('Dental Modeler'!$C$8='References (Hide)'!$A$2,"",IF(OR(AND('Dental Modeler'!$C$8='References (Hide)'!$A$2,'Dental Modeler'!G21&gt;2), AND('Dental Modeler'!$C$8='References (Hide)'!$A$3,'Dental Modeler'!G21&gt;4), AND('Dental Modeler'!$C$8='References (Hide)'!$A$4, 'Dental Modeler'!G21&gt;MAX(INDIRECT('Dental Modeler'!$C$9)))), "INVALID - PLEASE UPDATE FIELD", ""))</f>
        <v/>
      </c>
      <c r="F29" s="28" t="str">
        <f ca="1">IF('Dental Modeler'!$C$8='References (Hide)'!$A$2,"",IF(OR(AND('Dental Modeler'!$C$8='References (Hide)'!$A$2,'Dental Modeler'!H21&gt;2), AND('Dental Modeler'!$C$8='References (Hide)'!$A$3,'Dental Modeler'!H21&gt;4), AND('Dental Modeler'!$C$8='References (Hide)'!$A$4, 'Dental Modeler'!H21&gt;MAX(INDIRECT('Dental Modeler'!$C$9)))), "INVALID - PLEASE UPDATE FIELD", ""))</f>
        <v/>
      </c>
      <c r="G29" s="28" t="str">
        <f ca="1">IF('Dental Modeler'!$C$8='References (Hide)'!$A$2,"",IF(OR(AND('Dental Modeler'!$C$8='References (Hide)'!$A$2,'Dental Modeler'!I21&gt;2), AND('Dental Modeler'!$C$8='References (Hide)'!$A$3,'Dental Modeler'!I21&gt;4), AND('Dental Modeler'!$C$8='References (Hide)'!$A$4, 'Dental Modeler'!I21&gt;MAX(INDIRECT('Dental Modeler'!$C$9)))), "INVALID - PLEASE UPDATE FIELD", ""))</f>
        <v/>
      </c>
      <c r="H29" s="29" t="str">
        <f ca="1">IF('Dental Modeler'!$C$8='References (Hide)'!$A$2,"",IF(OR(AND('Dental Modeler'!$C$8='References (Hide)'!$A$2,'Dental Modeler'!J21&gt;2), AND('Dental Modeler'!$C$8='References (Hide)'!$A$3,'Dental Modeler'!J21&gt;4), AND('Dental Modeler'!$C$8='References (Hide)'!$A$4, 'Dental Modeler'!J21&gt;MAX(INDIRECT('Dental Modeler'!$C$9)))), "INVALID - PLEASE UPDATE FIELD", ""))</f>
        <v/>
      </c>
      <c r="I29" s="15"/>
      <c r="J29" s="15"/>
    </row>
    <row r="30" spans="1:49" x14ac:dyDescent="0.25">
      <c r="A30" s="31"/>
      <c r="B30" s="32"/>
      <c r="C30" s="32"/>
      <c r="D30" s="32"/>
      <c r="E30" s="32"/>
      <c r="F30" s="32"/>
      <c r="G30" s="32"/>
      <c r="H30" s="33"/>
      <c r="I30" s="15"/>
      <c r="J30" s="15" t="str">
        <f>IF(OR(AND('Dental Modeler'!$C$8='References (Hide)'!$A$2,'Dental Modeler'!L21&gt;0), AND('Dental Modeler'!$C$8='References (Hide)'!$A$3,'Dental Modeler'!L21&gt;1)), "INVALID - PLEASE UPDATE FIELD", "")</f>
        <v/>
      </c>
    </row>
    <row r="31" spans="1:49" x14ac:dyDescent="0.25">
      <c r="A31" s="15"/>
      <c r="I31" s="122" t="s">
        <v>187</v>
      </c>
    </row>
    <row r="32" spans="1:49" x14ac:dyDescent="0.25">
      <c r="A32" s="43" t="s">
        <v>114</v>
      </c>
      <c r="I32" s="123" t="s">
        <v>184</v>
      </c>
    </row>
    <row r="33" spans="1:9" x14ac:dyDescent="0.25">
      <c r="B33" s="155" t="s">
        <v>116</v>
      </c>
      <c r="C33" s="156"/>
      <c r="D33" s="157"/>
      <c r="E33" s="155" t="s">
        <v>117</v>
      </c>
      <c r="F33" s="156"/>
      <c r="G33" s="157"/>
      <c r="I33" s="1" t="s">
        <v>185</v>
      </c>
    </row>
    <row r="34" spans="1:9" x14ac:dyDescent="0.25">
      <c r="B34" s="41" t="s">
        <v>181</v>
      </c>
      <c r="C34" s="41" t="s">
        <v>182</v>
      </c>
      <c r="D34" s="41" t="s">
        <v>183</v>
      </c>
      <c r="E34" s="41" t="s">
        <v>184</v>
      </c>
      <c r="F34" s="41" t="s">
        <v>185</v>
      </c>
      <c r="G34" s="41" t="s">
        <v>186</v>
      </c>
      <c r="I34" s="123" t="s">
        <v>186</v>
      </c>
    </row>
    <row r="35" spans="1:9" x14ac:dyDescent="0.25">
      <c r="A35" s="44" t="s">
        <v>0</v>
      </c>
      <c r="B35" s="42">
        <v>1</v>
      </c>
      <c r="C35" s="42">
        <v>1</v>
      </c>
      <c r="D35" s="42">
        <v>2</v>
      </c>
      <c r="E35" s="42">
        <v>1</v>
      </c>
      <c r="F35" s="42">
        <v>1</v>
      </c>
      <c r="G35" s="42">
        <v>2</v>
      </c>
    </row>
    <row r="36" spans="1:9" x14ac:dyDescent="0.25">
      <c r="A36" s="44" t="s">
        <v>1</v>
      </c>
      <c r="B36" s="42">
        <v>2</v>
      </c>
      <c r="C36" s="42">
        <v>2</v>
      </c>
      <c r="D36" s="42">
        <v>2</v>
      </c>
      <c r="E36" s="42">
        <v>2</v>
      </c>
      <c r="F36" s="42">
        <v>2</v>
      </c>
      <c r="G36" s="42">
        <v>2</v>
      </c>
    </row>
    <row r="37" spans="1:9" x14ac:dyDescent="0.25">
      <c r="A37" s="44" t="s">
        <v>3</v>
      </c>
      <c r="B37" s="42">
        <v>1</v>
      </c>
      <c r="C37" s="42">
        <v>1</v>
      </c>
      <c r="D37" s="42">
        <v>1</v>
      </c>
      <c r="E37" s="42">
        <v>1</v>
      </c>
      <c r="F37" s="42">
        <v>1</v>
      </c>
      <c r="G37" s="42">
        <v>1</v>
      </c>
      <c r="I37" s="122" t="s">
        <v>188</v>
      </c>
    </row>
    <row r="38" spans="1:9" x14ac:dyDescent="0.25">
      <c r="A38" s="44" t="s">
        <v>2</v>
      </c>
      <c r="B38" s="42">
        <v>0</v>
      </c>
      <c r="C38" s="42">
        <v>1</v>
      </c>
      <c r="D38" s="42">
        <v>1</v>
      </c>
      <c r="E38" s="42">
        <v>0</v>
      </c>
      <c r="F38" s="42">
        <v>0</v>
      </c>
      <c r="G38" s="42">
        <v>1</v>
      </c>
      <c r="I38" s="123" t="s">
        <v>181</v>
      </c>
    </row>
    <row r="39" spans="1:9" x14ac:dyDescent="0.25">
      <c r="A39" s="44" t="s">
        <v>4</v>
      </c>
      <c r="B39" s="42">
        <v>0</v>
      </c>
      <c r="C39" s="42">
        <v>1</v>
      </c>
      <c r="D39" s="42">
        <v>2</v>
      </c>
      <c r="E39" s="42">
        <v>0</v>
      </c>
      <c r="F39" s="42">
        <v>1</v>
      </c>
      <c r="G39" s="42">
        <v>2</v>
      </c>
      <c r="I39" s="1" t="s">
        <v>182</v>
      </c>
    </row>
    <row r="40" spans="1:9" x14ac:dyDescent="0.25">
      <c r="A40" s="44" t="s">
        <v>6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1</v>
      </c>
      <c r="I40" s="123" t="s">
        <v>183</v>
      </c>
    </row>
    <row r="41" spans="1:9" x14ac:dyDescent="0.25">
      <c r="A41" s="44" t="s">
        <v>5</v>
      </c>
      <c r="B41" s="42">
        <v>0</v>
      </c>
      <c r="C41" s="42">
        <v>0</v>
      </c>
      <c r="D41" s="42">
        <v>0</v>
      </c>
      <c r="E41" s="42">
        <v>0</v>
      </c>
      <c r="F41" s="42">
        <v>1</v>
      </c>
      <c r="G41" s="42">
        <v>1</v>
      </c>
    </row>
    <row r="42" spans="1:9" x14ac:dyDescent="0.25">
      <c r="A42" s="44" t="s">
        <v>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1</v>
      </c>
    </row>
    <row r="43" spans="1:9" x14ac:dyDescent="0.25">
      <c r="A43" s="44" t="s">
        <v>8</v>
      </c>
      <c r="B43" s="42">
        <v>0</v>
      </c>
      <c r="C43" s="42">
        <v>0</v>
      </c>
      <c r="D43" s="42">
        <v>1</v>
      </c>
      <c r="E43" s="42">
        <v>0</v>
      </c>
      <c r="F43" s="42">
        <v>0</v>
      </c>
      <c r="G43" s="42">
        <v>1</v>
      </c>
    </row>
    <row r="63" spans="1:6" x14ac:dyDescent="0.25">
      <c r="A63" s="45" t="s">
        <v>127</v>
      </c>
      <c r="B63" s="42" t="s">
        <v>128</v>
      </c>
      <c r="C63" s="70">
        <f>27.2/93.2</f>
        <v>0.29184549356223172</v>
      </c>
      <c r="D63" s="42" t="s">
        <v>55</v>
      </c>
      <c r="E63" s="70">
        <f>1-C63</f>
        <v>0.70815450643776834</v>
      </c>
      <c r="F63" t="s">
        <v>163</v>
      </c>
    </row>
    <row r="64" spans="1:6" x14ac:dyDescent="0.25">
      <c r="A64" s="44" t="s">
        <v>0</v>
      </c>
      <c r="B64" s="71">
        <v>36</v>
      </c>
      <c r="C64" s="71">
        <f>ROUND(B64*C$63,2)</f>
        <v>10.51</v>
      </c>
      <c r="D64" s="71">
        <v>45</v>
      </c>
      <c r="E64" s="71">
        <f>ROUND(D64*E$63,2)</f>
        <v>31.87</v>
      </c>
      <c r="F64" s="111">
        <f>C64+E64</f>
        <v>42.38</v>
      </c>
    </row>
    <row r="65" spans="1:6" x14ac:dyDescent="0.25">
      <c r="A65" s="44" t="s">
        <v>179</v>
      </c>
      <c r="B65" s="71">
        <v>47</v>
      </c>
      <c r="C65" s="71">
        <f t="shared" ref="C65:C73" si="0">ROUND(B65*C$63,2)</f>
        <v>13.72</v>
      </c>
      <c r="D65" s="71">
        <v>59</v>
      </c>
      <c r="E65" s="71">
        <f t="shared" ref="E65:E73" si="1">ROUND(D65*E$63,2)</f>
        <v>41.78</v>
      </c>
      <c r="F65" s="111">
        <f t="shared" ref="F65:F73" si="2">C65+E65</f>
        <v>55.5</v>
      </c>
    </row>
    <row r="66" spans="1:6" x14ac:dyDescent="0.25">
      <c r="A66" s="44" t="s">
        <v>180</v>
      </c>
      <c r="B66" s="71">
        <v>61</v>
      </c>
      <c r="C66" s="71">
        <f t="shared" si="0"/>
        <v>17.8</v>
      </c>
      <c r="D66" s="71">
        <v>75</v>
      </c>
      <c r="E66" s="71">
        <f t="shared" ref="E66" si="3">ROUND(D66*E$63,2)</f>
        <v>53.11</v>
      </c>
      <c r="F66" s="111">
        <f t="shared" ref="F66" si="4">C66+E66</f>
        <v>70.91</v>
      </c>
    </row>
    <row r="67" spans="1:6" x14ac:dyDescent="0.25">
      <c r="A67" s="44" t="s">
        <v>3</v>
      </c>
      <c r="B67" s="71">
        <v>43</v>
      </c>
      <c r="C67" s="71">
        <f>ROUND(B67*C$63,2)</f>
        <v>12.55</v>
      </c>
      <c r="D67" s="71">
        <v>53</v>
      </c>
      <c r="E67" s="71">
        <f>ROUND(D67*E$63,2)</f>
        <v>37.53</v>
      </c>
      <c r="F67" s="111">
        <f>C67+E67</f>
        <v>50.08</v>
      </c>
    </row>
    <row r="68" spans="1:6" x14ac:dyDescent="0.25">
      <c r="A68" s="44" t="s">
        <v>2</v>
      </c>
      <c r="B68" s="71">
        <v>29</v>
      </c>
      <c r="C68" s="71">
        <f>ROUND(B68*C$63,2)</f>
        <v>8.4600000000000009</v>
      </c>
      <c r="D68" s="71">
        <v>38</v>
      </c>
      <c r="E68" s="71">
        <f>ROUND(D68*E$63,2)</f>
        <v>26.91</v>
      </c>
      <c r="F68" s="111">
        <f>C68+E68</f>
        <v>35.370000000000005</v>
      </c>
    </row>
    <row r="69" spans="1:6" x14ac:dyDescent="0.25">
      <c r="A69" s="44" t="s">
        <v>4</v>
      </c>
      <c r="B69" s="71">
        <v>151</v>
      </c>
      <c r="C69" s="71">
        <f t="shared" si="0"/>
        <v>44.07</v>
      </c>
      <c r="D69" s="71">
        <v>187</v>
      </c>
      <c r="E69" s="71">
        <f t="shared" si="1"/>
        <v>132.41999999999999</v>
      </c>
      <c r="F69" s="111">
        <f t="shared" si="2"/>
        <v>176.48999999999998</v>
      </c>
    </row>
    <row r="70" spans="1:6" x14ac:dyDescent="0.25">
      <c r="A70" s="44" t="s">
        <v>6</v>
      </c>
      <c r="B70" s="71">
        <v>684</v>
      </c>
      <c r="C70" s="71">
        <f>ROUND(B70*C$63,2)</f>
        <v>199.62</v>
      </c>
      <c r="D70" s="71">
        <v>996</v>
      </c>
      <c r="E70" s="71">
        <f>ROUND(D70*E$63,2)</f>
        <v>705.32</v>
      </c>
      <c r="F70" s="111">
        <f>C70+E70</f>
        <v>904.94</v>
      </c>
    </row>
    <row r="71" spans="1:6" x14ac:dyDescent="0.25">
      <c r="A71" s="44" t="s">
        <v>5</v>
      </c>
      <c r="B71" s="71">
        <v>865</v>
      </c>
      <c r="C71" s="71">
        <f>ROUND(B71*C$63,2)</f>
        <v>252.45</v>
      </c>
      <c r="D71" s="71">
        <v>951</v>
      </c>
      <c r="E71" s="71">
        <f>ROUND(D71*E$63,2)</f>
        <v>673.45</v>
      </c>
      <c r="F71" s="111">
        <f>C71+E71</f>
        <v>925.90000000000009</v>
      </c>
    </row>
    <row r="72" spans="1:6" x14ac:dyDescent="0.25">
      <c r="A72" s="44" t="s">
        <v>7</v>
      </c>
      <c r="B72" s="71">
        <v>1538</v>
      </c>
      <c r="C72" s="71">
        <f t="shared" si="0"/>
        <v>448.86</v>
      </c>
      <c r="D72" s="71">
        <v>1788</v>
      </c>
      <c r="E72" s="71">
        <f t="shared" si="1"/>
        <v>1266.18</v>
      </c>
      <c r="F72" s="111">
        <f t="shared" si="2"/>
        <v>1715.04</v>
      </c>
    </row>
    <row r="73" spans="1:6" x14ac:dyDescent="0.25">
      <c r="A73" s="44" t="s">
        <v>8</v>
      </c>
      <c r="B73" s="71">
        <v>5285</v>
      </c>
      <c r="C73" s="71">
        <f t="shared" si="0"/>
        <v>1542.4</v>
      </c>
      <c r="D73" s="71">
        <v>5640</v>
      </c>
      <c r="E73" s="71">
        <f t="shared" si="1"/>
        <v>3993.99</v>
      </c>
      <c r="F73" s="111">
        <f t="shared" si="2"/>
        <v>5536.3899999999994</v>
      </c>
    </row>
  </sheetData>
  <mergeCells count="2">
    <mergeCell ref="B33:D33"/>
    <mergeCell ref="E33:G33"/>
  </mergeCells>
  <pageMargins left="0.7" right="0.7" top="0.75" bottom="0.75" header="0.3" footer="0.3"/>
  <pageSetup orientation="portrait" r:id="rId1"/>
  <tableParts count="5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EB07-0EB2-452A-BB53-38F0560258A5}">
  <sheetPr codeName="Sheet4"/>
  <dimension ref="A1:E18"/>
  <sheetViews>
    <sheetView showGridLines="0" workbookViewId="0">
      <selection activeCell="B1" sqref="B1:H1"/>
    </sheetView>
  </sheetViews>
  <sheetFormatPr defaultRowHeight="15" x14ac:dyDescent="0.25"/>
  <cols>
    <col min="2" max="2" width="61.28515625" bestFit="1" customWidth="1"/>
    <col min="3" max="5" width="13.7109375" customWidth="1"/>
  </cols>
  <sheetData>
    <row r="1" spans="1:5" ht="21" x14ac:dyDescent="0.35">
      <c r="A1" s="55" t="s">
        <v>131</v>
      </c>
    </row>
    <row r="2" spans="1:5" ht="18.75" x14ac:dyDescent="0.3">
      <c r="A2" s="56" t="s">
        <v>132</v>
      </c>
    </row>
    <row r="3" spans="1:5" ht="15.75" x14ac:dyDescent="0.25">
      <c r="A3" s="57" t="s">
        <v>133</v>
      </c>
    </row>
    <row r="5" spans="1:5" x14ac:dyDescent="0.25">
      <c r="A5" s="58" t="s">
        <v>134</v>
      </c>
      <c r="B5" s="59"/>
      <c r="C5" s="59" t="s">
        <v>76</v>
      </c>
      <c r="D5" s="59" t="s">
        <v>76</v>
      </c>
      <c r="E5" s="60"/>
    </row>
    <row r="6" spans="1:5" x14ac:dyDescent="0.25">
      <c r="A6" s="61" t="s">
        <v>135</v>
      </c>
      <c r="B6" s="62" t="s">
        <v>136</v>
      </c>
      <c r="C6" s="62" t="s">
        <v>128</v>
      </c>
      <c r="D6" s="62" t="s">
        <v>137</v>
      </c>
      <c r="E6" s="63" t="s">
        <v>138</v>
      </c>
    </row>
    <row r="7" spans="1:5" x14ac:dyDescent="0.25">
      <c r="A7" s="64" t="s">
        <v>139</v>
      </c>
      <c r="B7" s="64" t="s">
        <v>140</v>
      </c>
      <c r="C7" s="65">
        <v>35.5</v>
      </c>
      <c r="D7" s="65">
        <v>45.05</v>
      </c>
      <c r="E7" s="65">
        <v>36</v>
      </c>
    </row>
    <row r="8" spans="1:5" x14ac:dyDescent="0.25">
      <c r="A8" s="66" t="s">
        <v>141</v>
      </c>
      <c r="B8" s="66" t="s">
        <v>142</v>
      </c>
      <c r="C8" s="67">
        <v>42.5</v>
      </c>
      <c r="D8" s="67">
        <v>52.64</v>
      </c>
      <c r="E8" s="67">
        <v>45</v>
      </c>
    </row>
    <row r="9" spans="1:5" x14ac:dyDescent="0.25">
      <c r="A9" s="66" t="s">
        <v>143</v>
      </c>
      <c r="B9" s="66" t="s">
        <v>144</v>
      </c>
      <c r="C9" s="67">
        <v>89.53</v>
      </c>
      <c r="D9" s="67">
        <v>107.6</v>
      </c>
      <c r="E9" s="67">
        <v>91</v>
      </c>
    </row>
    <row r="10" spans="1:5" x14ac:dyDescent="0.25">
      <c r="A10" s="66" t="s">
        <v>145</v>
      </c>
      <c r="B10" s="66" t="s">
        <v>146</v>
      </c>
      <c r="C10" s="67">
        <v>61.06</v>
      </c>
      <c r="D10" s="67">
        <v>75.44</v>
      </c>
      <c r="E10" s="67">
        <v>63</v>
      </c>
    </row>
    <row r="11" spans="1:5" x14ac:dyDescent="0.25">
      <c r="A11" s="66" t="s">
        <v>147</v>
      </c>
      <c r="B11" s="66" t="s">
        <v>148</v>
      </c>
      <c r="C11" s="67">
        <v>46.84</v>
      </c>
      <c r="D11" s="67">
        <v>59.11</v>
      </c>
      <c r="E11" s="67">
        <v>48</v>
      </c>
    </row>
    <row r="12" spans="1:5" x14ac:dyDescent="0.25">
      <c r="A12" s="66" t="s">
        <v>149</v>
      </c>
      <c r="B12" s="66" t="s">
        <v>150</v>
      </c>
      <c r="C12" s="67">
        <v>28.93</v>
      </c>
      <c r="D12" s="67">
        <v>37.69</v>
      </c>
      <c r="E12" s="67">
        <v>31</v>
      </c>
    </row>
    <row r="13" spans="1:5" x14ac:dyDescent="0.25">
      <c r="A13" s="66" t="s">
        <v>151</v>
      </c>
      <c r="B13" s="66" t="s">
        <v>152</v>
      </c>
      <c r="C13" s="67">
        <v>150.68</v>
      </c>
      <c r="D13" s="67">
        <v>186.65</v>
      </c>
      <c r="E13" s="67">
        <v>143</v>
      </c>
    </row>
    <row r="14" spans="1:5" x14ac:dyDescent="0.25">
      <c r="A14" s="66" t="s">
        <v>153</v>
      </c>
      <c r="B14" s="66" t="s">
        <v>154</v>
      </c>
      <c r="C14" s="67">
        <v>864.9</v>
      </c>
      <c r="D14" s="67">
        <v>950.55</v>
      </c>
      <c r="E14" s="67">
        <v>799</v>
      </c>
    </row>
    <row r="15" spans="1:5" x14ac:dyDescent="0.25">
      <c r="A15" s="66" t="s">
        <v>155</v>
      </c>
      <c r="B15" s="66" t="s">
        <v>156</v>
      </c>
      <c r="C15" s="67">
        <v>684.15</v>
      </c>
      <c r="D15" s="67">
        <v>995.72</v>
      </c>
      <c r="E15" s="67">
        <v>771</v>
      </c>
    </row>
    <row r="16" spans="1:5" x14ac:dyDescent="0.25">
      <c r="A16" s="66" t="s">
        <v>157</v>
      </c>
      <c r="B16" s="66" t="s">
        <v>158</v>
      </c>
      <c r="C16" s="67">
        <v>1537.88</v>
      </c>
      <c r="D16" s="67">
        <v>1788.14</v>
      </c>
      <c r="E16" s="67">
        <v>1575</v>
      </c>
    </row>
    <row r="17" spans="1:5" x14ac:dyDescent="0.25">
      <c r="A17" s="66" t="s">
        <v>159</v>
      </c>
      <c r="B17" s="66" t="s">
        <v>160</v>
      </c>
      <c r="C17" s="67">
        <v>361.93</v>
      </c>
      <c r="D17" s="67">
        <v>427.05</v>
      </c>
      <c r="E17" s="67">
        <v>344</v>
      </c>
    </row>
    <row r="18" spans="1:5" x14ac:dyDescent="0.25">
      <c r="A18" s="68" t="s">
        <v>161</v>
      </c>
      <c r="B18" s="68" t="s">
        <v>162</v>
      </c>
      <c r="C18" s="69">
        <v>5284.68</v>
      </c>
      <c r="D18" s="69">
        <v>5640</v>
      </c>
      <c r="E18" s="69">
        <v>4610</v>
      </c>
    </row>
  </sheetData>
  <pageMargins left="0.75" right="0.75" top="1" bottom="1" header="0.5" footer="0.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N Y D A A B Q S w M E F A A C A A g A o Y k R V 9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K G J E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i R F X d Z p b x d I A A A A 2 A Q A A E w A c A E Z v c m 1 1 b G F z L 1 N l Y 3 R p b 2 4 x L m 0 g o h g A K K A U A A A A A A A A A A A A A A A A A A A A A A A A A A A A b Y 8 x a 8 N A D I V 3 g / + D u C 4 2 m E C h Z E m T x b R j h j o l g / F w c Z X 4 i H w K d z J N a / z f e 1 e X t p R q E b w n f X r y 2 I p h C 9 X c b 1 d p k i a + 0 w 5 f Y K c P h H d L W A O h p A m E q n h w L Q b l 4 d o i L c r B O b S y Z 3 c + M J + z f K y 3 u s e 1 + l p V z V S X b C X M N M V M u F F l p + 0 p 4 t 8 u q A L q c 3 a x c 9 r 6 I 7 u + Z B p 6 G 0 2 f z e e K c V T P Y s i 8 6 5 h R F S D B B c G r T F P + z X 0 0 J B h z P / G r / w F X S O G 3 q G V / b h e A u u 0 g q 3 / B G 7 j f g B 2 I 8 j x N j P 2 f v f o A U E s B A i 0 A F A A C A A g A o Y k R V 9 h e i d O i A A A A 9 g A A A B I A A A A A A A A A A A A A A A A A A A A A A E N v b m Z p Z y 9 Q Y W N r Y W d l L n h t b F B L A Q I t A B Q A A g A I A K G J E V c P y u m r p A A A A O k A A A A T A A A A A A A A A A A A A A A A A O 4 A A A B b Q 2 9 u d G V u d F 9 U e X B l c 1 0 u e G 1 s U E s B A i 0 A F A A C A A g A o Y k R V 3 W a W 8 X S A A A A N g E A A B M A A A A A A A A A A A A A A A A A 3 w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g A A A A A A A A +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N 1 Q y M T o x M j o 0 O S 4 w N j Q y M z U z W i I g L z 4 8 R W 5 0 c n k g V H l w Z T 0 i R m l s b E N v b H V t b l R 5 c G V z I i B W Y W x 1 Z T 0 i c 0 J n P T 0 i I C 8 + P E V u d H J 5 I F R 5 c G U 9 I k Z p b G x D b 2 x 1 b W 5 O Y W 1 l c y I g V m F s d W U 9 I n N b J n F 1 b 3 Q 7 V X R p b G l 6 Y X R p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Q 2 L 0 F 1 d G 9 S Z W 1 v d m V k Q 2 9 s d W 1 u c z E u e 1 V 0 a W x p e m F 0 a W 9 u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D Y v Q X V 0 b 1 J l b W 9 2 Z W R D b 2 x 1 b W 5 z M S 5 7 V X R p b G l 6 Y X R p b 2 4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N D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Y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r X z 9 B 7 g 7 l P l W q M x D W B h 1 s A A A A A A g A A A A A A A 2 Y A A M A A A A A Q A A A A G 9 7 n j h n Q i u 8 l S T U o B + 3 s d w A A A A A E g A A A o A A A A B A A A A A W x p J 6 G k h 9 x f b B b c m 8 w e + 7 U A A A A B 7 d E c r j c J O e a X m b J e H y 0 2 S V K q f V c C + + 1 n c h v I t 8 f + v z t N 2 T F C q g z C b 6 B 3 L R I j K y b I 5 j l m B 8 w 5 D + P 1 b z P l T E 3 m Q A e D B j c l l L o b L 1 R O I x 6 T h J F A A A A E K q 7 I n x 9 9 i M V V L X G v J M I b e H 2 8 3 K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F01C46BD39543AD48ED98DFA93DD1" ma:contentTypeVersion="3" ma:contentTypeDescription="Create a new document." ma:contentTypeScope="" ma:versionID="23cceba52c4121bb3f547333935aae88">
  <xsd:schema xmlns:xsd="http://www.w3.org/2001/XMLSchema" xmlns:xs="http://www.w3.org/2001/XMLSchema" xmlns:p="http://schemas.microsoft.com/office/2006/metadata/properties" xmlns:ns3="2d18a6ac-c515-4d77-a105-7305c4d699ec" targetNamespace="http://schemas.microsoft.com/office/2006/metadata/properties" ma:root="true" ma:fieldsID="ccc91832ff166f99b1ce977db4733068" ns3:_="">
    <xsd:import namespace="2d18a6ac-c515-4d77-a105-7305c4d699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8a6ac-c515-4d77-a105-7305c4d69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4A6C8-9D61-4F04-A952-73E023273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DF7D86-6478-4927-869F-DC389854495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042CB6C-E52F-4C37-9A96-DC78D51B8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8a6ac-c515-4d77-a105-7305c4d69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0DF85F-9978-4179-957A-BB8A04F9E5EB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2d18a6ac-c515-4d77-a105-7305c4d699e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56</vt:i4>
      </vt:variant>
    </vt:vector>
  </HeadingPairs>
  <TitlesOfParts>
    <vt:vector size="60" baseType="lpstr">
      <vt:lpstr>Dental Modeler</vt:lpstr>
      <vt:lpstr>App1 (Calculations-Hide)</vt:lpstr>
      <vt:lpstr>References (Hide)</vt:lpstr>
      <vt:lpstr>MSU</vt:lpstr>
      <vt:lpstr>Braces</vt:lpstr>
      <vt:lpstr>Cleaning</vt:lpstr>
      <vt:lpstr>Crown</vt:lpstr>
      <vt:lpstr>Eight</vt:lpstr>
      <vt:lpstr>EightBraces</vt:lpstr>
      <vt:lpstr>EightFillings</vt:lpstr>
      <vt:lpstr>EightFluoride</vt:lpstr>
      <vt:lpstr>EightRootCanal</vt:lpstr>
      <vt:lpstr>Exam</vt:lpstr>
      <vt:lpstr>Family</vt:lpstr>
      <vt:lpstr>Filling</vt:lpstr>
      <vt:lpstr>Five</vt:lpstr>
      <vt:lpstr>FiveBraces</vt:lpstr>
      <vt:lpstr>FiveFillings</vt:lpstr>
      <vt:lpstr>FiveFluoride</vt:lpstr>
      <vt:lpstr>FiveRootCanal</vt:lpstr>
      <vt:lpstr>Fluoride</vt:lpstr>
      <vt:lpstr>Four</vt:lpstr>
      <vt:lpstr>FourBraces</vt:lpstr>
      <vt:lpstr>FourFillings</vt:lpstr>
      <vt:lpstr>FourFluoride</vt:lpstr>
      <vt:lpstr>FourRootCanal</vt:lpstr>
      <vt:lpstr>Full_Time_Status</vt:lpstr>
      <vt:lpstr>Implant</vt:lpstr>
      <vt:lpstr>One</vt:lpstr>
      <vt:lpstr>OneBraces</vt:lpstr>
      <vt:lpstr>OneFillings</vt:lpstr>
      <vt:lpstr>OneFluoride</vt:lpstr>
      <vt:lpstr>OneRootCanal</vt:lpstr>
      <vt:lpstr>RootCanal</vt:lpstr>
      <vt:lpstr>Seven</vt:lpstr>
      <vt:lpstr>SevenBraces</vt:lpstr>
      <vt:lpstr>SevenFillings</vt:lpstr>
      <vt:lpstr>SevenFluoride</vt:lpstr>
      <vt:lpstr>SevenRootCanal</vt:lpstr>
      <vt:lpstr>Single</vt:lpstr>
      <vt:lpstr>Six</vt:lpstr>
      <vt:lpstr>SixBraces</vt:lpstr>
      <vt:lpstr>SixFillings</vt:lpstr>
      <vt:lpstr>SixFluoride</vt:lpstr>
      <vt:lpstr>SixRootCanal</vt:lpstr>
      <vt:lpstr>Three</vt:lpstr>
      <vt:lpstr>ThreeBraces</vt:lpstr>
      <vt:lpstr>ThreeFillings</vt:lpstr>
      <vt:lpstr>ThreeFluoride</vt:lpstr>
      <vt:lpstr>ThreeRootCanal</vt:lpstr>
      <vt:lpstr>Tier</vt:lpstr>
      <vt:lpstr>Two</vt:lpstr>
      <vt:lpstr>Two_Person</vt:lpstr>
      <vt:lpstr>TwoBraces</vt:lpstr>
      <vt:lpstr>TwoFillings</vt:lpstr>
      <vt:lpstr>TwoFluoride</vt:lpstr>
      <vt:lpstr>TwoRootCanal</vt:lpstr>
      <vt:lpstr>Utilization</vt:lpstr>
      <vt:lpstr>Utilization_Amounts</vt:lpstr>
      <vt:lpstr>Xray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Luke</dc:creator>
  <cp:lastModifiedBy>Bradford, Andy</cp:lastModifiedBy>
  <cp:lastPrinted>2023-08-21T15:47:29Z</cp:lastPrinted>
  <dcterms:created xsi:type="dcterms:W3CDTF">2023-06-06T15:42:37Z</dcterms:created>
  <dcterms:modified xsi:type="dcterms:W3CDTF">2023-08-22T19:31:59Z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2023-06-06T15:42:37Z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1bf23497-dd5b-4a00-85a2-e64578b97c79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0x010100FA4F01C46BD39543AD48ED98DFA93DD1</vt:lpwstr>
  </property>
</Properties>
</file>